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inara\AppData\Local\Temp\OneDocs\03635847762120763392\"/>
    </mc:Choice>
  </mc:AlternateContent>
  <bookViews>
    <workbookView xWindow="390" yWindow="1560" windowWidth="8580" windowHeight="4065" tabRatio="926" activeTab="6"/>
  </bookViews>
  <sheets>
    <sheet name="Forsendur" sheetId="1" r:id="rId1"/>
    <sheet name="sorp 2015-1" sheetId="56" r:id="rId2"/>
    <sheet name="Grófur úrg. 2015" sheetId="57" r:id="rId3"/>
    <sheet name="Sorpeyðing Fíflholt" sheetId="61" r:id="rId4"/>
    <sheet name="Sorpmótttökustöð" sheetId="62" r:id="rId5"/>
    <sheet name="Gáma 53-2016" sheetId="71" r:id="rId6"/>
    <sheet name="Samantekt 53 og 08 2016" sheetId="73" r:id="rId7"/>
    <sheet name="Sheet1" sheetId="72" r:id="rId8"/>
  </sheets>
  <definedNames>
    <definedName name="fyrirtæki">#REF!</definedName>
    <definedName name="logo">#REF!</definedName>
    <definedName name="_xlnm.Print_Area">#REF!</definedName>
    <definedName name="Skuldir__án_lífeyrisskuldbindingar">#REF!,#REF!</definedName>
    <definedName name="tímabil">#REF!</definedName>
    <definedName name="unnið_af">#REF!</definedName>
    <definedName name="Vísitala">#REF!</definedName>
  </definedNames>
  <calcPr calcId="152511"/>
</workbook>
</file>

<file path=xl/calcChain.xml><?xml version="1.0" encoding="utf-8"?>
<calcChain xmlns="http://schemas.openxmlformats.org/spreadsheetml/2006/main">
  <c r="D12" i="73" l="1"/>
  <c r="F12" i="73" s="1"/>
  <c r="C8" i="73"/>
  <c r="F8" i="73" s="1"/>
  <c r="F7" i="73" l="1"/>
  <c r="C17" i="73"/>
  <c r="F17" i="73" s="1"/>
  <c r="C19" i="73"/>
  <c r="F19" i="73" s="1"/>
  <c r="C18" i="73"/>
  <c r="F18" i="73" s="1"/>
  <c r="C14" i="73"/>
  <c r="E27" i="73"/>
  <c r="D27" i="73"/>
  <c r="C27" i="73"/>
  <c r="F26" i="73"/>
  <c r="F25" i="73"/>
  <c r="F27" i="73" s="1"/>
  <c r="F22" i="73"/>
  <c r="I20" i="73"/>
  <c r="H20" i="73"/>
  <c r="E20" i="73"/>
  <c r="E23" i="73" s="1"/>
  <c r="D20" i="73"/>
  <c r="D23" i="73" s="1"/>
  <c r="F16" i="73"/>
  <c r="F15" i="73"/>
  <c r="F13" i="73"/>
  <c r="I9" i="73"/>
  <c r="H9" i="73"/>
  <c r="E9" i="73"/>
  <c r="C9" i="73"/>
  <c r="D9" i="73"/>
  <c r="E29" i="73" l="1"/>
  <c r="C35" i="73" s="1"/>
  <c r="I29" i="73"/>
  <c r="H29" i="73"/>
  <c r="D29" i="73"/>
  <c r="C34" i="73" s="1"/>
  <c r="C20" i="73"/>
  <c r="C23" i="73" s="1"/>
  <c r="F14" i="73"/>
  <c r="F20" i="73" s="1"/>
  <c r="F23" i="73" s="1"/>
  <c r="F9" i="73"/>
  <c r="F6" i="71"/>
  <c r="F51" i="71"/>
  <c r="F46" i="71"/>
  <c r="F39" i="71"/>
  <c r="F27" i="71"/>
  <c r="F20" i="71"/>
  <c r="P3" i="61"/>
  <c r="E58" i="71"/>
  <c r="D65" i="71"/>
  <c r="C65" i="71"/>
  <c r="B5" i="71"/>
  <c r="B65" i="71" s="1"/>
  <c r="E60" i="71"/>
  <c r="E59" i="71"/>
  <c r="C29" i="73" l="1"/>
  <c r="C33" i="73" s="1"/>
  <c r="C36" i="73" s="1"/>
  <c r="F29" i="73"/>
  <c r="O16" i="62"/>
  <c r="O17" i="62"/>
  <c r="O19" i="62"/>
  <c r="O20" i="62"/>
  <c r="O21" i="62"/>
  <c r="O22" i="62"/>
  <c r="O23" i="62"/>
  <c r="O25" i="62"/>
  <c r="O27" i="62"/>
  <c r="M26" i="62"/>
  <c r="N26" i="62" s="1"/>
  <c r="O26" i="62" s="1"/>
  <c r="M24" i="62"/>
  <c r="M18" i="62"/>
  <c r="N18" i="62" s="1"/>
  <c r="O18" i="62" s="1"/>
  <c r="M15" i="62"/>
  <c r="N15" i="62" s="1"/>
  <c r="M14" i="62"/>
  <c r="N14" i="62" s="1"/>
  <c r="M7" i="62"/>
  <c r="N7" i="62" s="1"/>
  <c r="N24" i="62" l="1"/>
  <c r="O24" i="62" s="1"/>
  <c r="P17" i="61"/>
  <c r="B46" i="61" s="1"/>
  <c r="B48" i="61" s="1"/>
  <c r="E48" i="71"/>
  <c r="E46" i="71" s="1"/>
  <c r="E39" i="71"/>
  <c r="E27" i="71"/>
  <c r="E5" i="71"/>
  <c r="E2" i="71"/>
  <c r="E65" i="71" l="1"/>
  <c r="S16" i="62" l="1"/>
  <c r="S24" i="62"/>
  <c r="N3" i="57"/>
  <c r="S31" i="62"/>
  <c r="T31" i="62" s="1"/>
  <c r="Q31" i="62"/>
  <c r="R31" i="62" s="1"/>
  <c r="S30" i="62"/>
  <c r="Q30" i="62"/>
  <c r="R30" i="62" s="1"/>
  <c r="Q28" i="62"/>
  <c r="Q27" i="62" s="1"/>
  <c r="Q25" i="62"/>
  <c r="S25" i="62" s="1"/>
  <c r="O37" i="61"/>
  <c r="N37" i="61"/>
  <c r="M37" i="61"/>
  <c r="L37" i="61"/>
  <c r="K37" i="61"/>
  <c r="J37" i="61"/>
  <c r="I37" i="61"/>
  <c r="H37" i="61"/>
  <c r="G37" i="61"/>
  <c r="F37" i="61"/>
  <c r="E37" i="61"/>
  <c r="D37" i="61"/>
  <c r="C37" i="61"/>
  <c r="B37" i="61"/>
  <c r="N17" i="61"/>
  <c r="M17" i="61"/>
  <c r="M20" i="61" s="1"/>
  <c r="K17" i="61"/>
  <c r="K20" i="61" s="1"/>
  <c r="J17" i="61"/>
  <c r="J26" i="61" s="1"/>
  <c r="I17" i="61"/>
  <c r="I20" i="61" s="1"/>
  <c r="H17" i="61"/>
  <c r="H20" i="61" s="1"/>
  <c r="G17" i="61"/>
  <c r="G20" i="61" s="1"/>
  <c r="F17" i="61"/>
  <c r="F26" i="61" s="1"/>
  <c r="E17" i="61"/>
  <c r="E20" i="61" s="1"/>
  <c r="D17" i="61"/>
  <c r="D20" i="61" s="1"/>
  <c r="C17" i="61"/>
  <c r="C20" i="61" s="1"/>
  <c r="B17" i="61"/>
  <c r="B26" i="61" s="1"/>
  <c r="O16" i="61"/>
  <c r="L16" i="61"/>
  <c r="O15" i="61"/>
  <c r="O14" i="61"/>
  <c r="O13" i="61"/>
  <c r="L13" i="61"/>
  <c r="L17" i="61" s="1"/>
  <c r="O12" i="61"/>
  <c r="G31" i="56"/>
  <c r="T30" i="62" l="1"/>
  <c r="N26" i="61"/>
  <c r="G8" i="56"/>
  <c r="G14" i="56"/>
  <c r="G26" i="56"/>
  <c r="Q17" i="61"/>
  <c r="R14" i="62"/>
  <c r="G9" i="56"/>
  <c r="G15" i="56"/>
  <c r="G29" i="56"/>
  <c r="G26" i="61"/>
  <c r="R15" i="62"/>
  <c r="R24" i="62"/>
  <c r="T24" i="62" s="1"/>
  <c r="G10" i="56"/>
  <c r="G24" i="56"/>
  <c r="G30" i="56"/>
  <c r="C26" i="61"/>
  <c r="D26" i="61"/>
  <c r="H26" i="61"/>
  <c r="R16" i="62"/>
  <c r="R28" i="62" s="1"/>
  <c r="R27" i="62" s="1"/>
  <c r="R26" i="62"/>
  <c r="O28" i="62"/>
  <c r="S28" i="62" s="1"/>
  <c r="G13" i="56"/>
  <c r="G25" i="56"/>
  <c r="K26" i="61"/>
  <c r="M26" i="61"/>
  <c r="E26" i="61"/>
  <c r="I26" i="61"/>
  <c r="L26" i="61"/>
  <c r="L20" i="61"/>
  <c r="O17" i="61"/>
  <c r="B20" i="61"/>
  <c r="F20" i="61"/>
  <c r="J20" i="61"/>
  <c r="N20" i="61"/>
  <c r="O14" i="62" l="1"/>
  <c r="S14" i="62" s="1"/>
  <c r="S26" i="62"/>
  <c r="T28" i="62"/>
  <c r="T16" i="62"/>
  <c r="R25" i="62"/>
  <c r="T25" i="62" s="1"/>
  <c r="O15" i="62"/>
  <c r="S27" i="62"/>
  <c r="P20" i="61"/>
  <c r="O20" i="61"/>
  <c r="O26" i="61"/>
  <c r="T26" i="62" l="1"/>
  <c r="T14" i="62"/>
  <c r="S15" i="62"/>
  <c r="S32" i="62" s="1"/>
  <c r="S33" i="62" s="1"/>
  <c r="T15" i="62"/>
  <c r="T27" i="62"/>
  <c r="T32" i="62" l="1"/>
  <c r="T33" i="62" s="1"/>
  <c r="H31" i="56"/>
  <c r="I31" i="56"/>
  <c r="H30" i="56"/>
  <c r="I30" i="56"/>
  <c r="H29" i="56"/>
  <c r="I29" i="56"/>
  <c r="H26" i="56"/>
  <c r="I26" i="56"/>
  <c r="H25" i="56"/>
  <c r="I25" i="56"/>
  <c r="H24" i="56"/>
  <c r="I24" i="56"/>
  <c r="H18" i="56"/>
  <c r="H15" i="56"/>
  <c r="I15" i="56"/>
  <c r="H14" i="56"/>
  <c r="H13" i="56"/>
  <c r="H10" i="56"/>
  <c r="I10" i="56"/>
  <c r="H9" i="56"/>
  <c r="I9" i="56"/>
  <c r="H8" i="56"/>
  <c r="I8" i="56"/>
  <c r="H20" i="56" l="1"/>
  <c r="H33" i="56"/>
  <c r="I13" i="56"/>
  <c r="I14" i="56"/>
  <c r="H35" i="56" l="1"/>
  <c r="H37" i="56" s="1"/>
  <c r="I20" i="56"/>
  <c r="I33" i="56"/>
  <c r="I35" i="56" l="1"/>
  <c r="I37" i="56" l="1"/>
  <c r="F17" i="71" s="1"/>
  <c r="F5" i="71" s="1"/>
  <c r="F65" i="71" s="1"/>
</calcChain>
</file>

<file path=xl/comments1.xml><?xml version="1.0" encoding="utf-8"?>
<comments xmlns="http://schemas.openxmlformats.org/spreadsheetml/2006/main">
  <authors>
    <author>Sigurður Páll Harðarsson</author>
  </authors>
  <commentList>
    <comment ref="I18" authorId="0" shapeId="0">
      <text>
        <r>
          <rPr>
            <b/>
            <sz val="9"/>
            <color indexed="81"/>
            <rFont val="Tahoma"/>
            <family val="2"/>
          </rPr>
          <t>Sigurður Páll Harðarsson:</t>
        </r>
        <r>
          <rPr>
            <sz val="9"/>
            <color indexed="81"/>
            <rFont val="Tahoma"/>
            <family val="2"/>
          </rPr>
          <t xml:space="preserve">
útboðsgögn og kynning</t>
        </r>
      </text>
    </comment>
  </commentList>
</comments>
</file>

<file path=xl/sharedStrings.xml><?xml version="1.0" encoding="utf-8"?>
<sst xmlns="http://schemas.openxmlformats.org/spreadsheetml/2006/main" count="407" uniqueCount="250">
  <si>
    <t>Vinna til eigin nota</t>
  </si>
  <si>
    <t>Innri afnot vinna</t>
  </si>
  <si>
    <t xml:space="preserve">Samtals </t>
  </si>
  <si>
    <t>Samtals</t>
  </si>
  <si>
    <t>Innri leiga 0/1</t>
  </si>
  <si>
    <t>Afnot íþróttafélaga millif.</t>
  </si>
  <si>
    <t>Innri afnotastyrkir</t>
  </si>
  <si>
    <t>Afnot skóla millif.</t>
  </si>
  <si>
    <t xml:space="preserve"> </t>
  </si>
  <si>
    <t>A: Sorphirða</t>
  </si>
  <si>
    <t>1.Sorphirðing í þéttbýli</t>
  </si>
  <si>
    <t>1.1 sorphirða úr óflokkuðum tunnum</t>
  </si>
  <si>
    <t>stk</t>
  </si>
  <si>
    <t>Vísitala sorpsamnings</t>
  </si>
  <si>
    <t>Eining</t>
  </si>
  <si>
    <t>Mánuðir</t>
  </si>
  <si>
    <t>Einingarverð</t>
  </si>
  <si>
    <t>Alls</t>
  </si>
  <si>
    <t>Vísitala sorpsamnings, spá</t>
  </si>
  <si>
    <t>Einingarverð í upphafi samnings</t>
  </si>
  <si>
    <t>Magnv í upphafi</t>
  </si>
  <si>
    <t>Sorphirða 240 L tunnur</t>
  </si>
  <si>
    <t>Sorphirðing 660 L ker</t>
  </si>
  <si>
    <t>Sorphirðing 1100 L ker</t>
  </si>
  <si>
    <t>1.2 Sorphirðing úr flokkuðum tunnum</t>
  </si>
  <si>
    <t>Sorphirðing 240 L tunnur</t>
  </si>
  <si>
    <t>1.3 Kynning á sorpflokkun</t>
  </si>
  <si>
    <t>3. Sorpílát</t>
  </si>
  <si>
    <t>Tunnur 240 L</t>
  </si>
  <si>
    <t>Ker 660 L</t>
  </si>
  <si>
    <t>Ker 1100 L</t>
  </si>
  <si>
    <t>3.2 Viðbótartunnur og ker fyrir heimili</t>
  </si>
  <si>
    <t>Heildarkostnaður</t>
  </si>
  <si>
    <t>Kynning og bæklingur</t>
  </si>
  <si>
    <t>heild</t>
  </si>
  <si>
    <t>Samtals 1</t>
  </si>
  <si>
    <t>Samtals 3</t>
  </si>
  <si>
    <t>Alls í upphafi</t>
  </si>
  <si>
    <t>Heildarkostnaður utan vsk</t>
  </si>
  <si>
    <t>Innviktað sorp til urðunar í Fíflholtum frá Gámu á Akranesi.</t>
  </si>
  <si>
    <t>Jan.</t>
  </si>
  <si>
    <t>Feb.</t>
  </si>
  <si>
    <t>Mars</t>
  </si>
  <si>
    <t>Apríl</t>
  </si>
  <si>
    <t>Maí</t>
  </si>
  <si>
    <t>Júní</t>
  </si>
  <si>
    <t xml:space="preserve">Júli </t>
  </si>
  <si>
    <t>Ág.</t>
  </si>
  <si>
    <t>Sept.</t>
  </si>
  <si>
    <t>Okt.</t>
  </si>
  <si>
    <t>Nóv.</t>
  </si>
  <si>
    <t>Des.</t>
  </si>
  <si>
    <t>Meðaltal</t>
  </si>
  <si>
    <t>pr. mán.</t>
  </si>
  <si>
    <t xml:space="preserve"> merkir að verksamningur við GV um sorphirðu hefst</t>
  </si>
  <si>
    <t xml:space="preserve">     merkir að verksamningur við GV ehf um rekstur Gámu hefst.</t>
  </si>
  <si>
    <t xml:space="preserve"> merkir að verksamningur við Íslenska Gámafélagið ehf um sorphirðu og rekstur Gámu hefst.</t>
  </si>
  <si>
    <t>Sorpmagn</t>
  </si>
  <si>
    <t>í kg. pr. íbúa</t>
  </si>
  <si>
    <t>Fjöldi íbúafjölda þ. 1. des. ár hvert.</t>
  </si>
  <si>
    <t>Akranes</t>
  </si>
  <si>
    <t>Skilm.hr.</t>
  </si>
  <si>
    <t>InnriAk</t>
  </si>
  <si>
    <t>Hvalfjstr.</t>
  </si>
  <si>
    <t>Leirár &amp; M</t>
  </si>
  <si>
    <t>Hvalfjsveit</t>
  </si>
  <si>
    <t>Ath.:</t>
  </si>
  <si>
    <t>Íbúatala Hvalfjarðarsveitar fyrir árið 2010 er hlutfallsleg og miðast við þann tíma ársins sem þeir voru aðilar að rekstri Gámu.</t>
  </si>
  <si>
    <t>Ein.verð utan vsk</t>
  </si>
  <si>
    <t>Eigin vinna - fastfél./gáma</t>
  </si>
  <si>
    <t>Fasteignagjöld</t>
  </si>
  <si>
    <t>3.1 tunnur og ker fyrir heimili (leiga)</t>
  </si>
  <si>
    <t>Júlí</t>
  </si>
  <si>
    <t>Skýrsla um meðhöndlun úrgangs</t>
  </si>
  <si>
    <t>Úrgangur frá gámastöð Akranesi</t>
  </si>
  <si>
    <t>Mánaðarlegar tölur</t>
  </si>
  <si>
    <t>Tímabil</t>
  </si>
  <si>
    <t>Janúar</t>
  </si>
  <si>
    <t>Febrúar</t>
  </si>
  <si>
    <t>Ágúst</t>
  </si>
  <si>
    <t>September</t>
  </si>
  <si>
    <t>Október</t>
  </si>
  <si>
    <t>Nóvember</t>
  </si>
  <si>
    <t>Desember</t>
  </si>
  <si>
    <t>Kg</t>
  </si>
  <si>
    <t>kg</t>
  </si>
  <si>
    <t>Úrgangur frá gámastöð / flokkunarstöð Akranes</t>
  </si>
  <si>
    <t>Pappír</t>
  </si>
  <si>
    <t>Til endurvinnslu</t>
  </si>
  <si>
    <t>Pappi</t>
  </si>
  <si>
    <t>Morgunkornspakkar</t>
  </si>
  <si>
    <t xml:space="preserve">Fernur </t>
  </si>
  <si>
    <t>Rúlluplast (landb.)</t>
  </si>
  <si>
    <t>Annað plast</t>
  </si>
  <si>
    <t xml:space="preserve">Fatnaður </t>
  </si>
  <si>
    <t>Málmar</t>
  </si>
  <si>
    <t>Timbur - hreint</t>
  </si>
  <si>
    <t>Timbur - óflokkað</t>
  </si>
  <si>
    <t>Rafhlöður</t>
  </si>
  <si>
    <t>Raf- og rafeindatækjaúrg.</t>
  </si>
  <si>
    <t>Net</t>
  </si>
  <si>
    <t>Dýrahræ</t>
  </si>
  <si>
    <t>Spilliefni</t>
  </si>
  <si>
    <t>Hjólbarðar</t>
  </si>
  <si>
    <t>Ökutæki</t>
  </si>
  <si>
    <t>Garðaúrgangur</t>
  </si>
  <si>
    <t>Tippur</t>
  </si>
  <si>
    <t xml:space="preserve">Jarðvegur </t>
  </si>
  <si>
    <t>Grjót og múrbrot</t>
  </si>
  <si>
    <t>Grófur úrgangur</t>
  </si>
  <si>
    <t>Úrg.</t>
  </si>
  <si>
    <t>Óflokkaður úrg. til urðunar</t>
  </si>
  <si>
    <t>Fíflholt</t>
  </si>
  <si>
    <t xml:space="preserve">Græna tunnan </t>
  </si>
  <si>
    <t>Úrgangur frá fyrirtækjum á Akranesi</t>
  </si>
  <si>
    <t xml:space="preserve">Annað? (hvað)gler &amp; postulin </t>
  </si>
  <si>
    <t xml:space="preserve">Annað? Grófur úrgangur </t>
  </si>
  <si>
    <t>Úrgangur frá Akranes, þéttbýli</t>
  </si>
  <si>
    <t>Úrgangur frá þéttbýli</t>
  </si>
  <si>
    <t xml:space="preserve">Plast </t>
  </si>
  <si>
    <t>Almenn sorhirða þéttbýli</t>
  </si>
  <si>
    <t>Annað? (hvað)</t>
  </si>
  <si>
    <t>Samningur</t>
  </si>
  <si>
    <t>Búkollugámur</t>
  </si>
  <si>
    <t>Rekstur mótt.stöðvar</t>
  </si>
  <si>
    <t>utan vsk</t>
  </si>
  <si>
    <t>Almennir rekstrarliðir/spá</t>
  </si>
  <si>
    <t>Launaliðir</t>
  </si>
  <si>
    <t>Afr.vinna</t>
  </si>
  <si>
    <t>Innri afnot stjórnunark</t>
  </si>
  <si>
    <t>Jan</t>
  </si>
  <si>
    <t>Feb</t>
  </si>
  <si>
    <t>apríl</t>
  </si>
  <si>
    <t>maí</t>
  </si>
  <si>
    <t>júní</t>
  </si>
  <si>
    <t>júlí</t>
  </si>
  <si>
    <t>ágúst</t>
  </si>
  <si>
    <t>sept</t>
  </si>
  <si>
    <t>okt</t>
  </si>
  <si>
    <t>nóv</t>
  </si>
  <si>
    <t>des</t>
  </si>
  <si>
    <t>utan vsk.</t>
  </si>
  <si>
    <t>Einingarverð 2016</t>
  </si>
  <si>
    <t>Magn 2016</t>
  </si>
  <si>
    <t>Spá 2015</t>
  </si>
  <si>
    <t>FJÁRHAGSÁÆTLUN, SUNDURLIÐUNARBÓK</t>
  </si>
  <si>
    <t>Staða STAÐA</t>
  </si>
  <si>
    <t>Staða 2016V2</t>
  </si>
  <si>
    <t xml:space="preserve">                    4638  Málm-og vélsmiðaþjónusta</t>
  </si>
  <si>
    <t xml:space="preserve">                    4455  Gámaleiga</t>
  </si>
  <si>
    <t xml:space="preserve">                    1920  Áf. lífeyrisskuldb. - br. mill</t>
  </si>
  <si>
    <t xml:space="preserve">                    4910  Innheimtukostnaður</t>
  </si>
  <si>
    <t xml:space="preserve">                    2631  Sandur, sement, steypa, múrefn</t>
  </si>
  <si>
    <t xml:space="preserve">                    5104  Innri afnot - stjórnunarkostn.</t>
  </si>
  <si>
    <t xml:space="preserve">                    4720  Húsatryggingar</t>
  </si>
  <si>
    <t xml:space="preserve">                    4810  Fasteignagjöld</t>
  </si>
  <si>
    <t xml:space="preserve">                    4811  Vatns- og fráveitugjöld</t>
  </si>
  <si>
    <t xml:space="preserve">                    5893  Afskriftir annarra mannvirkja1</t>
  </si>
  <si>
    <t xml:space="preserve">                    5892  Afskriftir fasteigna</t>
  </si>
  <si>
    <t xml:space="preserve">                    5894  Afskriftir véla og áhalda</t>
  </si>
  <si>
    <t xml:space="preserve">                    5714  * Vextir af skuldum eigin fyrt</t>
  </si>
  <si>
    <t xml:space="preserve">                    5753  * Verðb. eigin fyrirt. reikn.</t>
  </si>
  <si>
    <t xml:space="preserve">                    5110  Eigin vinna - fastfél./gáma</t>
  </si>
  <si>
    <t xml:space="preserve">                    4331  Endursk.- og bókhaldsþj. m/24% vsk.</t>
  </si>
  <si>
    <t>53  Gáma - rekstrarreikningur</t>
  </si>
  <si>
    <t xml:space="preserve">          53010  Sameiginlegir liðir</t>
  </si>
  <si>
    <t xml:space="preserve">                    0531  Seld vinna og þjónusta m.25.5%</t>
  </si>
  <si>
    <t xml:space="preserve">                    0891  Aðrar tekjur m. 24% vsk.</t>
  </si>
  <si>
    <t xml:space="preserve">                    4071  Auglýsingar m/24% vsk</t>
  </si>
  <si>
    <t xml:space="preserve">                    4121  Vöru- og sendiferðabílar m.vsk</t>
  </si>
  <si>
    <t xml:space="preserve">                    4321  Verkfræði- og arkitektaþjón. 24% vsk.</t>
  </si>
  <si>
    <t xml:space="preserve">                    4456  Gámaleiga m.24% vsk.</t>
  </si>
  <si>
    <t xml:space="preserve">                    4637  Vinnavélaþjónusta m. 24%vsk.</t>
  </si>
  <si>
    <t xml:space="preserve">                    4981  Aðkeypt önnur vinna m/24% vsk</t>
  </si>
  <si>
    <t xml:space="preserve">                    4991  Önnur aðk.þjónusta m.24%vsk.</t>
  </si>
  <si>
    <t xml:space="preserve">          53100  Sorphreinsun</t>
  </si>
  <si>
    <t xml:space="preserve">          53130  Spilliefnaeyðing</t>
  </si>
  <si>
    <t xml:space="preserve">          53150  Bæjarhreinsun</t>
  </si>
  <si>
    <t xml:space="preserve">          53200  Tæki og áhöld</t>
  </si>
  <si>
    <t xml:space="preserve">          53210  Bílavog</t>
  </si>
  <si>
    <t xml:space="preserve">          53280  Sorpvinnsluhús</t>
  </si>
  <si>
    <t xml:space="preserve">                    2621  Járn og annar málmur</t>
  </si>
  <si>
    <t xml:space="preserve">                    4551  Bensín og olíur 24% vsk</t>
  </si>
  <si>
    <t xml:space="preserve">                    4627  Rafþjónusta m. 24% vsk.</t>
  </si>
  <si>
    <t xml:space="preserve">                    4639  Málm-og vélsm.þjón.m.24% vsk</t>
  </si>
  <si>
    <t xml:space="preserve">                    4661  Viðhald áhalda 24% vsk</t>
  </si>
  <si>
    <t xml:space="preserve">          53290  Sorpgæsluhús</t>
  </si>
  <si>
    <t xml:space="preserve">                    2611  Timbur, trjávörur, þilplötur</t>
  </si>
  <si>
    <t xml:space="preserve">                    4625  Trésmíðaþjónusta m. 25.5% vsk.</t>
  </si>
  <si>
    <t xml:space="preserve">          53300  Lóð</t>
  </si>
  <si>
    <t xml:space="preserve">          53650  Afskriftir fastafjármuna</t>
  </si>
  <si>
    <t xml:space="preserve">          53810  Fjármagnstekjur</t>
  </si>
  <si>
    <t xml:space="preserve">          53840  Fjármagnsgjöld</t>
  </si>
  <si>
    <t xml:space="preserve">          53990  Ósamþykktir reikningar</t>
  </si>
  <si>
    <t>2016 spá</t>
  </si>
  <si>
    <t>Einingarverð á kg 2016</t>
  </si>
  <si>
    <t>Áætlað magn í kg 2016</t>
  </si>
  <si>
    <t>Greiðsla vegna sorpeyðingar 2016</t>
  </si>
  <si>
    <t>Niðurstaða</t>
  </si>
  <si>
    <t>Mánaðarlegar tölur 2015</t>
  </si>
  <si>
    <t>Alls kostnaður</t>
  </si>
  <si>
    <t>Grunnáætlun 2015</t>
  </si>
  <si>
    <t>Áætlun (viðauki) 2015</t>
  </si>
  <si>
    <t>Innri færsl.</t>
  </si>
  <si>
    <t>Innri færsl</t>
  </si>
  <si>
    <t>Gáma</t>
  </si>
  <si>
    <t>Sorphreinsun</t>
  </si>
  <si>
    <t>Innri - færslur</t>
  </si>
  <si>
    <t>milli</t>
  </si>
  <si>
    <t>v/aðalsj. og</t>
  </si>
  <si>
    <t>Deild</t>
  </si>
  <si>
    <t>05000-53990</t>
  </si>
  <si>
    <t>08210</t>
  </si>
  <si>
    <t>krónur</t>
  </si>
  <si>
    <t>08 og 53</t>
  </si>
  <si>
    <t>eignasj.</t>
  </si>
  <si>
    <t>Rekstrartekjur:</t>
  </si>
  <si>
    <t>Gáma - sameiginlegir liðir</t>
  </si>
  <si>
    <t>53010</t>
  </si>
  <si>
    <t>samtals tekjur</t>
  </si>
  <si>
    <t>Rekstrargjöld:</t>
  </si>
  <si>
    <t>Sorphreinsun - Aðkeypt önnur vinna (Gáma)</t>
  </si>
  <si>
    <t>Sorphreinsun - Innri afnot - stjórnunarkostnaður</t>
  </si>
  <si>
    <t>Gáma - Sameiginlegir liðir án innri-færslna + eigin vinnu</t>
  </si>
  <si>
    <t>Gáma - Innri - færslur</t>
  </si>
  <si>
    <t>53010-5104</t>
  </si>
  <si>
    <t>Gáma - Eigin vinna - fasteignafélag/Gáma</t>
  </si>
  <si>
    <t>53010-5110</t>
  </si>
  <si>
    <t>Gáma - Sorpvinnsluhús</t>
  </si>
  <si>
    <t>53280</t>
  </si>
  <si>
    <t>Gáma - Sorpgæsluhús</t>
  </si>
  <si>
    <t>53290</t>
  </si>
  <si>
    <t>Gáma - Lóð Gámu</t>
  </si>
  <si>
    <t>53300</t>
  </si>
  <si>
    <t>samtals gjöld</t>
  </si>
  <si>
    <t>Gáma - afskriftir fastafjármuna</t>
  </si>
  <si>
    <t>53650</t>
  </si>
  <si>
    <t>Rekstrarniðurstaða fyrir fjármagnsliði</t>
  </si>
  <si>
    <t>Gáma - fjármagnstekjur</t>
  </si>
  <si>
    <t>53810</t>
  </si>
  <si>
    <t>Gáma - fjármagnsgjöld</t>
  </si>
  <si>
    <t>53840</t>
  </si>
  <si>
    <t>Fjármagnsliðir</t>
  </si>
  <si>
    <t>Rekstur Gámu</t>
  </si>
  <si>
    <t>Sorphreinsun - álagning</t>
  </si>
  <si>
    <t>Innri færslur</t>
  </si>
  <si>
    <t>Rekstur Gámu og álagning sorpgjalda skv. áætlun 2016</t>
  </si>
  <si>
    <t>Sorphreinsun - Álögð sorphirðugjöld 2016</t>
  </si>
  <si>
    <t>Fylgiskjal nr. 1.</t>
  </si>
  <si>
    <t>SA//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</si>
</sst>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(* #,##0_);_(* \(#,##0\);_(* &quot;-&quot;_);_(@_)"/>
    <numFmt numFmtId="164" formatCode="0.0"/>
    <numFmt numFmtId="165" formatCode="#,##0.0"/>
    <numFmt numFmtId="166" formatCode="_-* #,##0.00\ _k_r_._-;\-* #,##0.00\ _k_r_._-;_-* &quot;-&quot;\ _k_r_._-;_-@_-"/>
    <numFmt numFmtId="167" formatCode="0.000%"/>
    <numFmt numFmtId="168" formatCode="@\ *."/>
    <numFmt numFmtId="169" formatCode="\ \ \ @"/>
    <numFmt numFmtId="170" formatCode="\ \ \ @\ *."/>
    <numFmt numFmtId="171" formatCode="\ \ \ \ \ \ @"/>
    <numFmt numFmtId="172" formatCode="\ \ \ \ \ \ @\ *."/>
    <numFmt numFmtId="173" formatCode="\ \ \ \ \ \ \ \ \ @"/>
    <numFmt numFmtId="174" formatCode="\ \ \ \ \ \ \ \ \ @\ *."/>
    <numFmt numFmtId="175" formatCode="#,##0\ &quot;kr.&quot;_);[Red]\(* #,##0\ &quot;kr.&quot;\)"/>
    <numFmt numFmtId="176" formatCode="#,##0\ \ ;[Red]\(* #,##0\ \)"/>
    <numFmt numFmtId="177" formatCode="#,##0\ \ ;\(* #,##0\ \)"/>
    <numFmt numFmtId="178" formatCode="0.00000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Calibri"/>
      <family val="2"/>
      <scheme val="minor"/>
    </font>
    <font>
      <sz val="11"/>
      <name val="Arial Narrow"/>
      <family val="2"/>
    </font>
    <font>
      <b/>
      <sz val="10"/>
      <color rgb="FFFF0000"/>
      <name val="Arial Narrow"/>
      <family val="2"/>
    </font>
    <font>
      <sz val="10"/>
      <name val="Arial"/>
      <family val="2"/>
    </font>
    <font>
      <sz val="12"/>
      <color indexed="8"/>
      <name val="Times New Roman"/>
      <family val="1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0"/>
      <color rgb="FF0070C0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</borders>
  <cellStyleXfs count="80">
    <xf numFmtId="0" fontId="0" fillId="0" borderId="0"/>
    <xf numFmtId="41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15" applyNumberFormat="0" applyAlignment="0" applyProtection="0"/>
    <xf numFmtId="0" fontId="14" fillId="6" borderId="16" applyNumberFormat="0" applyAlignment="0" applyProtection="0"/>
    <xf numFmtId="0" fontId="15" fillId="6" borderId="15" applyNumberFormat="0" applyAlignment="0" applyProtection="0"/>
    <xf numFmtId="0" fontId="16" fillId="0" borderId="17" applyNumberFormat="0" applyFill="0" applyAlignment="0" applyProtection="0"/>
    <xf numFmtId="0" fontId="17" fillId="7" borderId="18" applyNumberFormat="0" applyAlignment="0" applyProtection="0"/>
    <xf numFmtId="0" fontId="18" fillId="0" borderId="0" applyNumberFormat="0" applyFill="0" applyBorder="0" applyAlignment="0" applyProtection="0"/>
    <xf numFmtId="0" fontId="1" fillId="8" borderId="19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2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3" fillId="0" borderId="0"/>
    <xf numFmtId="0" fontId="1" fillId="8" borderId="1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0"/>
    <xf numFmtId="0" fontId="36" fillId="0" borderId="0"/>
    <xf numFmtId="0" fontId="21" fillId="0" borderId="0"/>
    <xf numFmtId="0" fontId="29" fillId="0" borderId="0">
      <alignment horizontal="left"/>
    </xf>
    <xf numFmtId="0" fontId="37" fillId="0" borderId="0"/>
    <xf numFmtId="0" fontId="21" fillId="0" borderId="0"/>
    <xf numFmtId="0" fontId="21" fillId="0" borderId="0"/>
    <xf numFmtId="168" fontId="45" fillId="0" borderId="0" applyFont="0" applyFill="0" applyBorder="0" applyProtection="0">
      <alignment horizontal="centerContinuous"/>
    </xf>
    <xf numFmtId="169" fontId="45" fillId="0" borderId="0" applyFont="0" applyFill="0" applyBorder="0" applyAlignment="0" applyProtection="0"/>
    <xf numFmtId="170" fontId="45" fillId="0" borderId="0" applyFont="0" applyFill="0" applyBorder="0" applyProtection="0">
      <alignment horizontal="centerContinuous"/>
    </xf>
    <xf numFmtId="171" fontId="45" fillId="0" borderId="0" applyFont="0" applyFill="0" applyBorder="0" applyAlignment="0" applyProtection="0"/>
    <xf numFmtId="172" fontId="45" fillId="0" borderId="0" applyFont="0" applyFill="0" applyBorder="0" applyProtection="0">
      <alignment horizontal="centerContinuous"/>
    </xf>
    <xf numFmtId="173" fontId="45" fillId="0" borderId="0" applyFont="0" applyFill="0" applyBorder="0" applyAlignment="0" applyProtection="0"/>
    <xf numFmtId="174" fontId="45" fillId="0" borderId="0" applyFont="0" applyFill="0" applyBorder="0" applyProtection="0">
      <alignment horizontal="centerContinuous"/>
    </xf>
    <xf numFmtId="175" fontId="46" fillId="0" borderId="0" applyFont="0" applyFill="0" applyBorder="0" applyAlignment="0" applyProtection="0"/>
    <xf numFmtId="176" fontId="47" fillId="0" borderId="0"/>
    <xf numFmtId="177" fontId="45" fillId="0" borderId="46" applyNumberFormat="0" applyFont="0" applyFill="0" applyAlignment="0" applyProtection="0"/>
    <xf numFmtId="176" fontId="45" fillId="0" borderId="108" applyNumberFormat="0" applyFont="0" applyFill="0" applyAlignment="0" applyProtection="0"/>
    <xf numFmtId="177" fontId="45" fillId="0" borderId="39" applyNumberFormat="0" applyFont="0" applyFill="0" applyAlignment="0" applyProtection="0"/>
    <xf numFmtId="177" fontId="45" fillId="0" borderId="109" applyNumberFormat="0" applyFont="0" applyFill="0" applyAlignment="0" applyProtection="0"/>
    <xf numFmtId="0" fontId="48" fillId="0" borderId="33" applyNumberFormat="0" applyFill="0" applyProtection="0">
      <alignment horizontal="centerContinuous"/>
    </xf>
    <xf numFmtId="176" fontId="49" fillId="0" borderId="0" applyNumberFormat="0" applyFill="0" applyBorder="0" applyProtection="0">
      <alignment horizontal="centerContinuous"/>
    </xf>
  </cellStyleXfs>
  <cellXfs count="266">
    <xf numFmtId="0" fontId="0" fillId="0" borderId="0" xfId="0"/>
    <xf numFmtId="0" fontId="0" fillId="0" borderId="0" xfId="0"/>
    <xf numFmtId="0" fontId="0" fillId="0" borderId="0" xfId="0" applyBorder="1"/>
    <xf numFmtId="0" fontId="2" fillId="0" borderId="4" xfId="0" applyFont="1" applyBorder="1"/>
    <xf numFmtId="0" fontId="0" fillId="0" borderId="5" xfId="0" applyBorder="1"/>
    <xf numFmtId="0" fontId="2" fillId="0" borderId="7" xfId="0" applyFont="1" applyBorder="1"/>
    <xf numFmtId="0" fontId="0" fillId="0" borderId="0" xfId="0" applyAlignment="1">
      <alignment horizontal="center"/>
    </xf>
    <xf numFmtId="0" fontId="0" fillId="0" borderId="0" xfId="0" applyFill="1" applyBorder="1"/>
    <xf numFmtId="0" fontId="2" fillId="0" borderId="0" xfId="0" applyFont="1"/>
    <xf numFmtId="17" fontId="0" fillId="0" borderId="0" xfId="0" applyNumberFormat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41" fontId="0" fillId="0" borderId="0" xfId="1" applyFont="1"/>
    <xf numFmtId="0" fontId="0" fillId="0" borderId="0" xfId="0" applyFont="1"/>
    <xf numFmtId="0" fontId="22" fillId="0" borderId="0" xfId="0" applyFont="1"/>
    <xf numFmtId="41" fontId="0" fillId="0" borderId="0" xfId="1" applyFont="1" applyAlignment="1">
      <alignment horizontal="center"/>
    </xf>
    <xf numFmtId="0" fontId="26" fillId="34" borderId="1" xfId="0" applyFont="1" applyFill="1" applyBorder="1"/>
    <xf numFmtId="0" fontId="26" fillId="34" borderId="1" xfId="0" applyFont="1" applyFill="1" applyBorder="1" applyAlignment="1">
      <alignment horizontal="center"/>
    </xf>
    <xf numFmtId="0" fontId="26" fillId="34" borderId="2" xfId="0" applyFont="1" applyFill="1" applyBorder="1" applyAlignment="1">
      <alignment horizontal="center"/>
    </xf>
    <xf numFmtId="0" fontId="26" fillId="34" borderId="3" xfId="0" applyFont="1" applyFill="1" applyBorder="1" applyAlignment="1">
      <alignment horizontal="center"/>
    </xf>
    <xf numFmtId="41" fontId="0" fillId="0" borderId="0" xfId="0" applyNumberFormat="1"/>
    <xf numFmtId="0" fontId="3" fillId="0" borderId="21" xfId="0" applyFont="1" applyBorder="1"/>
    <xf numFmtId="0" fontId="0" fillId="0" borderId="21" xfId="0" applyBorder="1"/>
    <xf numFmtId="41" fontId="0" fillId="0" borderId="21" xfId="1" applyFont="1" applyBorder="1" applyAlignment="1">
      <alignment horizontal="center"/>
    </xf>
    <xf numFmtId="41" fontId="0" fillId="0" borderId="21" xfId="1" applyFont="1" applyBorder="1"/>
    <xf numFmtId="0" fontId="3" fillId="34" borderId="1" xfId="0" applyFont="1" applyFill="1" applyBorder="1"/>
    <xf numFmtId="0" fontId="0" fillId="34" borderId="2" xfId="0" applyFill="1" applyBorder="1"/>
    <xf numFmtId="41" fontId="0" fillId="34" borderId="2" xfId="1" applyFont="1" applyFill="1" applyBorder="1"/>
    <xf numFmtId="41" fontId="2" fillId="0" borderId="21" xfId="1" applyFont="1" applyBorder="1"/>
    <xf numFmtId="41" fontId="2" fillId="34" borderId="2" xfId="1" applyFont="1" applyFill="1" applyBorder="1"/>
    <xf numFmtId="0" fontId="27" fillId="0" borderId="0" xfId="0" applyFont="1"/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4" xfId="0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37" xfId="0" applyNumberFormat="1" applyBorder="1"/>
    <xf numFmtId="3" fontId="0" fillId="0" borderId="38" xfId="0" applyNumberFormat="1" applyBorder="1"/>
    <xf numFmtId="3" fontId="0" fillId="0" borderId="39" xfId="0" applyNumberFormat="1" applyBorder="1"/>
    <xf numFmtId="3" fontId="0" fillId="0" borderId="40" xfId="0" applyNumberFormat="1" applyBorder="1"/>
    <xf numFmtId="0" fontId="0" fillId="0" borderId="41" xfId="0" applyBorder="1"/>
    <xf numFmtId="0" fontId="0" fillId="0" borderId="42" xfId="0" applyBorder="1"/>
    <xf numFmtId="3" fontId="0" fillId="0" borderId="43" xfId="0" applyNumberFormat="1" applyBorder="1"/>
    <xf numFmtId="3" fontId="0" fillId="0" borderId="44" xfId="0" applyNumberFormat="1" applyBorder="1"/>
    <xf numFmtId="3" fontId="0" fillId="0" borderId="45" xfId="0" applyNumberFormat="1" applyBorder="1"/>
    <xf numFmtId="3" fontId="0" fillId="0" borderId="46" xfId="0" applyNumberFormat="1" applyBorder="1"/>
    <xf numFmtId="3" fontId="0" fillId="0" borderId="47" xfId="0" applyNumberFormat="1" applyBorder="1"/>
    <xf numFmtId="3" fontId="28" fillId="0" borderId="44" xfId="0" applyNumberFormat="1" applyFont="1" applyBorder="1"/>
    <xf numFmtId="3" fontId="0" fillId="0" borderId="48" xfId="0" applyNumberFormat="1" applyBorder="1"/>
    <xf numFmtId="3" fontId="28" fillId="0" borderId="36" xfId="0" applyNumberFormat="1" applyFont="1" applyBorder="1"/>
    <xf numFmtId="0" fontId="0" fillId="0" borderId="49" xfId="0" applyBorder="1"/>
    <xf numFmtId="3" fontId="0" fillId="0" borderId="31" xfId="0" applyNumberFormat="1" applyBorder="1"/>
    <xf numFmtId="3" fontId="0" fillId="0" borderId="32" xfId="0" applyNumberFormat="1" applyBorder="1"/>
    <xf numFmtId="3" fontId="0" fillId="0" borderId="50" xfId="0" applyNumberFormat="1" applyBorder="1"/>
    <xf numFmtId="3" fontId="0" fillId="0" borderId="51" xfId="0" applyNumberFormat="1" applyBorder="1"/>
    <xf numFmtId="3" fontId="0" fillId="0" borderId="52" xfId="0" applyNumberFormat="1" applyBorder="1"/>
    <xf numFmtId="0" fontId="0" fillId="0" borderId="53" xfId="0" applyBorder="1"/>
    <xf numFmtId="3" fontId="0" fillId="0" borderId="54" xfId="0" applyNumberFormat="1" applyBorder="1"/>
    <xf numFmtId="3" fontId="0" fillId="0" borderId="55" xfId="0" applyNumberFormat="1" applyBorder="1"/>
    <xf numFmtId="3" fontId="0" fillId="0" borderId="56" xfId="0" applyNumberFormat="1" applyBorder="1"/>
    <xf numFmtId="3" fontId="0" fillId="0" borderId="10" xfId="0" applyNumberFormat="1" applyBorder="1"/>
    <xf numFmtId="3" fontId="0" fillId="0" borderId="57" xfId="0" applyNumberFormat="1" applyBorder="1"/>
    <xf numFmtId="3" fontId="0" fillId="0" borderId="0" xfId="0" applyNumberFormat="1"/>
    <xf numFmtId="3" fontId="0" fillId="0" borderId="0" xfId="0" applyNumberFormat="1" applyAlignment="1">
      <alignment horizontal="right"/>
    </xf>
    <xf numFmtId="0" fontId="0" fillId="35" borderId="4" xfId="0" applyFill="1" applyBorder="1"/>
    <xf numFmtId="0" fontId="0" fillId="35" borderId="5" xfId="0" applyFill="1" applyBorder="1"/>
    <xf numFmtId="0" fontId="0" fillId="35" borderId="6" xfId="0" applyFill="1" applyBorder="1"/>
    <xf numFmtId="0" fontId="0" fillId="35" borderId="9" xfId="0" applyFill="1" applyBorder="1"/>
    <xf numFmtId="165" fontId="0" fillId="35" borderId="1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60" xfId="0" applyBorder="1"/>
    <xf numFmtId="17" fontId="0" fillId="0" borderId="26" xfId="0" applyNumberFormat="1" applyBorder="1" applyAlignment="1">
      <alignment horizontal="center"/>
    </xf>
    <xf numFmtId="17" fontId="0" fillId="0" borderId="27" xfId="0" applyNumberFormat="1" applyBorder="1" applyAlignment="1">
      <alignment horizontal="center"/>
    </xf>
    <xf numFmtId="17" fontId="0" fillId="0" borderId="29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 applyAlignment="1">
      <alignment horizontal="right"/>
    </xf>
    <xf numFmtId="17" fontId="2" fillId="36" borderId="74" xfId="0" applyNumberFormat="1" applyFont="1" applyFill="1" applyBorder="1" applyAlignment="1">
      <alignment horizontal="center" vertical="center"/>
    </xf>
    <xf numFmtId="0" fontId="2" fillId="36" borderId="75" xfId="0" applyFont="1" applyFill="1" applyBorder="1" applyAlignment="1">
      <alignment horizontal="center"/>
    </xf>
    <xf numFmtId="0" fontId="0" fillId="0" borderId="74" xfId="0" applyBorder="1"/>
    <xf numFmtId="0" fontId="2" fillId="0" borderId="11" xfId="0" applyFont="1" applyBorder="1"/>
    <xf numFmtId="0" fontId="0" fillId="0" borderId="9" xfId="0" applyBorder="1" applyAlignment="1">
      <alignment horizontal="center"/>
    </xf>
    <xf numFmtId="0" fontId="30" fillId="0" borderId="76" xfId="0" applyFont="1" applyBorder="1"/>
    <xf numFmtId="1" fontId="30" fillId="37" borderId="65" xfId="0" applyNumberFormat="1" applyFont="1" applyFill="1" applyBorder="1" applyAlignment="1">
      <alignment horizontal="right"/>
    </xf>
    <xf numFmtId="0" fontId="31" fillId="0" borderId="66" xfId="0" applyFont="1" applyBorder="1" applyAlignment="1">
      <alignment horizontal="right"/>
    </xf>
    <xf numFmtId="0" fontId="30" fillId="0" borderId="69" xfId="0" applyFont="1" applyBorder="1"/>
    <xf numFmtId="1" fontId="30" fillId="37" borderId="67" xfId="0" applyNumberFormat="1" applyFont="1" applyFill="1" applyBorder="1" applyAlignment="1">
      <alignment horizontal="right"/>
    </xf>
    <xf numFmtId="0" fontId="31" fillId="0" borderId="68" xfId="0" applyFont="1" applyBorder="1" applyAlignment="1">
      <alignment horizontal="right"/>
    </xf>
    <xf numFmtId="0" fontId="30" fillId="0" borderId="73" xfId="0" applyFont="1" applyBorder="1"/>
    <xf numFmtId="1" fontId="30" fillId="37" borderId="77" xfId="0" applyNumberFormat="1" applyFont="1" applyFill="1" applyBorder="1" applyAlignment="1">
      <alignment horizontal="right"/>
    </xf>
    <xf numFmtId="0" fontId="31" fillId="0" borderId="72" xfId="0" applyFont="1" applyBorder="1" applyAlignment="1">
      <alignment horizontal="right"/>
    </xf>
    <xf numFmtId="0" fontId="31" fillId="0" borderId="33" xfId="0" applyFont="1" applyBorder="1" applyAlignment="1">
      <alignment horizontal="right"/>
    </xf>
    <xf numFmtId="0" fontId="33" fillId="0" borderId="59" xfId="0" applyFont="1" applyBorder="1"/>
    <xf numFmtId="0" fontId="31" fillId="0" borderId="22" xfId="0" applyFont="1" applyBorder="1" applyAlignment="1">
      <alignment horizontal="right"/>
    </xf>
    <xf numFmtId="1" fontId="31" fillId="0" borderId="68" xfId="0" applyNumberFormat="1" applyFont="1" applyBorder="1" applyAlignment="1">
      <alignment horizontal="right"/>
    </xf>
    <xf numFmtId="0" fontId="30" fillId="0" borderId="59" xfId="0" applyFont="1" applyBorder="1"/>
    <xf numFmtId="0" fontId="31" fillId="0" borderId="78" xfId="0" applyFont="1" applyBorder="1" applyAlignment="1">
      <alignment horizontal="right"/>
    </xf>
    <xf numFmtId="41" fontId="2" fillId="0" borderId="0" xfId="0" applyNumberFormat="1" applyFont="1"/>
    <xf numFmtId="49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/>
    <xf numFmtId="3" fontId="0" fillId="0" borderId="0" xfId="0" applyNumberFormat="1" applyBorder="1"/>
    <xf numFmtId="9" fontId="0" fillId="0" borderId="0" xfId="0" applyNumberFormat="1" applyAlignment="1">
      <alignment horizontal="center"/>
    </xf>
    <xf numFmtId="0" fontId="0" fillId="0" borderId="9" xfId="0" applyBorder="1"/>
    <xf numFmtId="0" fontId="0" fillId="0" borderId="7" xfId="0" applyBorder="1"/>
    <xf numFmtId="166" fontId="0" fillId="0" borderId="8" xfId="1" applyNumberFormat="1" applyFont="1" applyBorder="1" applyAlignment="1">
      <alignment horizontal="center"/>
    </xf>
    <xf numFmtId="49" fontId="0" fillId="0" borderId="0" xfId="0" applyNumberFormat="1" applyBorder="1"/>
    <xf numFmtId="0" fontId="0" fillId="0" borderId="0" xfId="0" applyBorder="1"/>
    <xf numFmtId="0" fontId="0" fillId="0" borderId="0" xfId="0"/>
    <xf numFmtId="0" fontId="0" fillId="0" borderId="10" xfId="0" applyBorder="1" applyAlignment="1">
      <alignment horizontal="center"/>
    </xf>
    <xf numFmtId="0" fontId="0" fillId="0" borderId="85" xfId="0" applyBorder="1"/>
    <xf numFmtId="2" fontId="0" fillId="0" borderId="0" xfId="0" applyNumberFormat="1" applyAlignment="1">
      <alignment horizontal="center"/>
    </xf>
    <xf numFmtId="1" fontId="30" fillId="38" borderId="65" xfId="0" applyNumberFormat="1" applyFont="1" applyFill="1" applyBorder="1" applyAlignment="1">
      <alignment horizontal="right"/>
    </xf>
    <xf numFmtId="1" fontId="30" fillId="38" borderId="67" xfId="0" applyNumberFormat="1" applyFont="1" applyFill="1" applyBorder="1" applyAlignment="1">
      <alignment horizontal="right"/>
    </xf>
    <xf numFmtId="1" fontId="30" fillId="38" borderId="77" xfId="0" applyNumberFormat="1" applyFont="1" applyFill="1" applyBorder="1" applyAlignment="1">
      <alignment horizontal="right"/>
    </xf>
    <xf numFmtId="1" fontId="30" fillId="38" borderId="67" xfId="0" applyNumberFormat="1" applyFont="1" applyFill="1" applyBorder="1" applyAlignment="1">
      <alignment horizontal="center"/>
    </xf>
    <xf numFmtId="1" fontId="30" fillId="38" borderId="77" xfId="0" applyNumberFormat="1" applyFont="1" applyFill="1" applyBorder="1" applyAlignment="1">
      <alignment horizontal="center"/>
    </xf>
    <xf numFmtId="1" fontId="30" fillId="38" borderId="65" xfId="0" applyNumberFormat="1" applyFont="1" applyFill="1" applyBorder="1" applyAlignment="1">
      <alignment horizontal="center"/>
    </xf>
    <xf numFmtId="3" fontId="22" fillId="34" borderId="86" xfId="0" applyNumberFormat="1" applyFont="1" applyFill="1" applyBorder="1"/>
    <xf numFmtId="41" fontId="0" fillId="0" borderId="8" xfId="1" applyFont="1" applyBorder="1"/>
    <xf numFmtId="41" fontId="0" fillId="0" borderId="11" xfId="1" applyFont="1" applyBorder="1"/>
    <xf numFmtId="49" fontId="2" fillId="0" borderId="33" xfId="0" applyNumberFormat="1" applyFont="1" applyBorder="1"/>
    <xf numFmtId="49" fontId="22" fillId="0" borderId="0" xfId="0" applyNumberFormat="1" applyFont="1" applyFill="1" applyBorder="1" applyAlignment="1">
      <alignment horizontal="center"/>
    </xf>
    <xf numFmtId="41" fontId="2" fillId="0" borderId="0" xfId="1" applyFont="1"/>
    <xf numFmtId="0" fontId="2" fillId="0" borderId="0" xfId="0" applyFont="1" applyBorder="1" applyAlignment="1">
      <alignment horizontal="center"/>
    </xf>
    <xf numFmtId="0" fontId="2" fillId="33" borderId="74" xfId="0" applyFont="1" applyFill="1" applyBorder="1" applyAlignment="1">
      <alignment horizontal="center"/>
    </xf>
    <xf numFmtId="3" fontId="18" fillId="33" borderId="41" xfId="0" applyNumberFormat="1" applyFont="1" applyFill="1" applyBorder="1" applyAlignment="1">
      <alignment horizontal="center"/>
    </xf>
    <xf numFmtId="3" fontId="2" fillId="34" borderId="86" xfId="0" applyNumberFormat="1" applyFont="1" applyFill="1" applyBorder="1" applyAlignment="1">
      <alignment horizontal="center"/>
    </xf>
    <xf numFmtId="0" fontId="38" fillId="39" borderId="1" xfId="0" applyFont="1" applyFill="1" applyBorder="1"/>
    <xf numFmtId="41" fontId="2" fillId="39" borderId="3" xfId="1" applyFont="1" applyFill="1" applyBorder="1"/>
    <xf numFmtId="0" fontId="2" fillId="0" borderId="1" xfId="0" applyFont="1" applyBorder="1"/>
    <xf numFmtId="0" fontId="0" fillId="0" borderId="3" xfId="0" applyBorder="1"/>
    <xf numFmtId="3" fontId="28" fillId="33" borderId="41" xfId="0" applyNumberFormat="1" applyFont="1" applyFill="1" applyBorder="1" applyAlignment="1">
      <alignment horizontal="center"/>
    </xf>
    <xf numFmtId="41" fontId="28" fillId="33" borderId="41" xfId="1" applyFont="1" applyFill="1" applyBorder="1" applyAlignment="1">
      <alignment horizontal="center"/>
    </xf>
    <xf numFmtId="0" fontId="2" fillId="0" borderId="10" xfId="0" applyFont="1" applyBorder="1"/>
    <xf numFmtId="0" fontId="30" fillId="0" borderId="33" xfId="0" applyFont="1" applyBorder="1"/>
    <xf numFmtId="0" fontId="30" fillId="0" borderId="87" xfId="0" applyFont="1" applyBorder="1"/>
    <xf numFmtId="0" fontId="30" fillId="0" borderId="21" xfId="0" applyFont="1" applyBorder="1"/>
    <xf numFmtId="1" fontId="30" fillId="37" borderId="76" xfId="0" applyNumberFormat="1" applyFont="1" applyFill="1" applyBorder="1" applyAlignment="1">
      <alignment horizontal="right"/>
    </xf>
    <xf numFmtId="1" fontId="30" fillId="37" borderId="69" xfId="0" applyNumberFormat="1" applyFont="1" applyFill="1" applyBorder="1" applyAlignment="1">
      <alignment horizontal="right"/>
    </xf>
    <xf numFmtId="1" fontId="30" fillId="37" borderId="73" xfId="0" applyNumberFormat="1" applyFont="1" applyFill="1" applyBorder="1" applyAlignment="1">
      <alignment horizontal="right"/>
    </xf>
    <xf numFmtId="0" fontId="2" fillId="0" borderId="8" xfId="0" applyFont="1" applyBorder="1"/>
    <xf numFmtId="0" fontId="0" fillId="0" borderId="11" xfId="0" applyBorder="1" applyAlignment="1">
      <alignment horizontal="center"/>
    </xf>
    <xf numFmtId="1" fontId="30" fillId="38" borderId="30" xfId="0" applyNumberFormat="1" applyFont="1" applyFill="1" applyBorder="1" applyAlignment="1">
      <alignment horizontal="center"/>
    </xf>
    <xf numFmtId="1" fontId="30" fillId="38" borderId="80" xfId="0" applyNumberFormat="1" applyFont="1" applyFill="1" applyBorder="1" applyAlignment="1">
      <alignment horizontal="center"/>
    </xf>
    <xf numFmtId="1" fontId="30" fillId="38" borderId="81" xfId="0" applyNumberFormat="1" applyFont="1" applyFill="1" applyBorder="1" applyAlignment="1">
      <alignment horizontal="center"/>
    </xf>
    <xf numFmtId="1" fontId="30" fillId="38" borderId="82" xfId="0" applyNumberFormat="1" applyFont="1" applyFill="1" applyBorder="1" applyAlignment="1">
      <alignment horizontal="center"/>
    </xf>
    <xf numFmtId="1" fontId="30" fillId="38" borderId="59" xfId="0" applyNumberFormat="1" applyFont="1" applyFill="1" applyBorder="1" applyAlignment="1">
      <alignment horizontal="center"/>
    </xf>
    <xf numFmtId="1" fontId="30" fillId="38" borderId="78" xfId="0" applyNumberFormat="1" applyFont="1" applyFill="1" applyBorder="1" applyAlignment="1">
      <alignment horizontal="center"/>
    </xf>
    <xf numFmtId="1" fontId="30" fillId="37" borderId="66" xfId="0" applyNumberFormat="1" applyFont="1" applyFill="1" applyBorder="1" applyAlignment="1">
      <alignment horizontal="right"/>
    </xf>
    <xf numFmtId="1" fontId="30" fillId="37" borderId="68" xfId="0" applyNumberFormat="1" applyFont="1" applyFill="1" applyBorder="1" applyAlignment="1">
      <alignment horizontal="right"/>
    </xf>
    <xf numFmtId="1" fontId="30" fillId="37" borderId="72" xfId="0" applyNumberFormat="1" applyFont="1" applyFill="1" applyBorder="1" applyAlignment="1">
      <alignment horizontal="right"/>
    </xf>
    <xf numFmtId="0" fontId="0" fillId="39" borderId="74" xfId="0" applyFill="1" applyBorder="1"/>
    <xf numFmtId="0" fontId="2" fillId="39" borderId="41" xfId="0" applyFont="1" applyFill="1" applyBorder="1"/>
    <xf numFmtId="0" fontId="0" fillId="39" borderId="75" xfId="0" applyFill="1" applyBorder="1" applyAlignment="1">
      <alignment horizontal="center"/>
    </xf>
    <xf numFmtId="41" fontId="31" fillId="39" borderId="88" xfId="1" applyFont="1" applyFill="1" applyBorder="1" applyAlignment="1">
      <alignment horizontal="right"/>
    </xf>
    <xf numFmtId="41" fontId="31" fillId="39" borderId="89" xfId="1" applyFont="1" applyFill="1" applyBorder="1" applyAlignment="1">
      <alignment horizontal="right"/>
    </xf>
    <xf numFmtId="41" fontId="31" fillId="39" borderId="90" xfId="1" applyFont="1" applyFill="1" applyBorder="1" applyAlignment="1">
      <alignment horizontal="right"/>
    </xf>
    <xf numFmtId="0" fontId="30" fillId="0" borderId="91" xfId="0" applyFont="1" applyBorder="1"/>
    <xf numFmtId="1" fontId="30" fillId="38" borderId="24" xfId="0" applyNumberFormat="1" applyFont="1" applyFill="1" applyBorder="1" applyAlignment="1">
      <alignment horizontal="center"/>
    </xf>
    <xf numFmtId="1" fontId="30" fillId="38" borderId="92" xfId="0" applyNumberFormat="1" applyFont="1" applyFill="1" applyBorder="1" applyAlignment="1">
      <alignment horizontal="right"/>
    </xf>
    <xf numFmtId="1" fontId="30" fillId="38" borderId="92" xfId="0" applyNumberFormat="1" applyFont="1" applyFill="1" applyBorder="1" applyAlignment="1">
      <alignment horizontal="center"/>
    </xf>
    <xf numFmtId="1" fontId="30" fillId="38" borderId="93" xfId="0" applyNumberFormat="1" applyFont="1" applyFill="1" applyBorder="1" applyAlignment="1">
      <alignment horizontal="center"/>
    </xf>
    <xf numFmtId="1" fontId="30" fillId="37" borderId="94" xfId="0" applyNumberFormat="1" applyFont="1" applyFill="1" applyBorder="1" applyAlignment="1">
      <alignment horizontal="right"/>
    </xf>
    <xf numFmtId="1" fontId="30" fillId="37" borderId="95" xfId="0" applyNumberFormat="1" applyFont="1" applyFill="1" applyBorder="1" applyAlignment="1">
      <alignment horizontal="right"/>
    </xf>
    <xf numFmtId="41" fontId="31" fillId="39" borderId="96" xfId="1" applyFont="1" applyFill="1" applyBorder="1" applyAlignment="1">
      <alignment horizontal="right"/>
    </xf>
    <xf numFmtId="0" fontId="30" fillId="0" borderId="58" xfId="0" applyFont="1" applyBorder="1"/>
    <xf numFmtId="0" fontId="30" fillId="0" borderId="79" xfId="0" applyFont="1" applyBorder="1"/>
    <xf numFmtId="0" fontId="0" fillId="33" borderId="0" xfId="0" applyFill="1"/>
    <xf numFmtId="0" fontId="0" fillId="39" borderId="0" xfId="0" applyFill="1" applyBorder="1" applyAlignment="1">
      <alignment horizontal="center"/>
    </xf>
    <xf numFmtId="166" fontId="0" fillId="39" borderId="0" xfId="1" applyNumberFormat="1" applyFont="1" applyFill="1"/>
    <xf numFmtId="0" fontId="0" fillId="39" borderId="41" xfId="0" applyFill="1" applyBorder="1"/>
    <xf numFmtId="41" fontId="0" fillId="39" borderId="0" xfId="1" applyNumberFormat="1" applyFont="1" applyFill="1"/>
    <xf numFmtId="41" fontId="0" fillId="39" borderId="41" xfId="0" applyNumberFormat="1" applyFill="1" applyBorder="1"/>
    <xf numFmtId="41" fontId="0" fillId="39" borderId="41" xfId="1" applyNumberFormat="1" applyFont="1" applyFill="1" applyBorder="1"/>
    <xf numFmtId="0" fontId="3" fillId="39" borderId="0" xfId="0" applyFont="1" applyFill="1" applyBorder="1" applyAlignment="1">
      <alignment horizontal="center"/>
    </xf>
    <xf numFmtId="0" fontId="3" fillId="39" borderId="41" xfId="0" applyFont="1" applyFill="1" applyBorder="1" applyAlignment="1">
      <alignment horizontal="center"/>
    </xf>
    <xf numFmtId="166" fontId="22" fillId="39" borderId="0" xfId="1" applyNumberFormat="1" applyFont="1" applyFill="1"/>
    <xf numFmtId="0" fontId="26" fillId="39" borderId="1" xfId="0" applyFont="1" applyFill="1" applyBorder="1" applyAlignment="1">
      <alignment horizontal="center"/>
    </xf>
    <xf numFmtId="0" fontId="26" fillId="39" borderId="2" xfId="0" applyFont="1" applyFill="1" applyBorder="1" applyAlignment="1">
      <alignment horizontal="center"/>
    </xf>
    <xf numFmtId="0" fontId="26" fillId="39" borderId="3" xfId="0" applyFont="1" applyFill="1" applyBorder="1" applyAlignment="1">
      <alignment horizontal="center"/>
    </xf>
    <xf numFmtId="0" fontId="0" fillId="39" borderId="97" xfId="0" applyFill="1" applyBorder="1"/>
    <xf numFmtId="0" fontId="0" fillId="39" borderId="99" xfId="0" applyFill="1" applyBorder="1"/>
    <xf numFmtId="41" fontId="2" fillId="39" borderId="99" xfId="0" applyNumberFormat="1" applyFont="1" applyFill="1" applyBorder="1"/>
    <xf numFmtId="41" fontId="2" fillId="39" borderId="100" xfId="0" applyNumberFormat="1" applyFont="1" applyFill="1" applyBorder="1"/>
    <xf numFmtId="41" fontId="22" fillId="39" borderId="97" xfId="0" applyNumberFormat="1" applyFont="1" applyFill="1" applyBorder="1"/>
    <xf numFmtId="41" fontId="22" fillId="39" borderId="98" xfId="0" applyNumberFormat="1" applyFont="1" applyFill="1" applyBorder="1"/>
    <xf numFmtId="0" fontId="33" fillId="0" borderId="101" xfId="0" applyFont="1" applyBorder="1"/>
    <xf numFmtId="1" fontId="30" fillId="38" borderId="83" xfId="0" applyNumberFormat="1" applyFont="1" applyFill="1" applyBorder="1" applyAlignment="1">
      <alignment horizontal="center"/>
    </xf>
    <xf numFmtId="1" fontId="30" fillId="38" borderId="70" xfId="0" applyNumberFormat="1" applyFont="1" applyFill="1" applyBorder="1" applyAlignment="1">
      <alignment horizontal="right"/>
    </xf>
    <xf numFmtId="1" fontId="30" fillId="38" borderId="70" xfId="0" applyNumberFormat="1" applyFont="1" applyFill="1" applyBorder="1" applyAlignment="1">
      <alignment horizontal="center"/>
    </xf>
    <xf numFmtId="1" fontId="30" fillId="38" borderId="84" xfId="0" applyNumberFormat="1" applyFont="1" applyFill="1" applyBorder="1" applyAlignment="1">
      <alignment horizontal="center"/>
    </xf>
    <xf numFmtId="1" fontId="30" fillId="37" borderId="85" xfId="0" applyNumberFormat="1" applyFont="1" applyFill="1" applyBorder="1" applyAlignment="1">
      <alignment horizontal="right"/>
    </xf>
    <xf numFmtId="1" fontId="30" fillId="37" borderId="71" xfId="0" applyNumberFormat="1" applyFont="1" applyFill="1" applyBorder="1" applyAlignment="1">
      <alignment horizontal="right"/>
    </xf>
    <xf numFmtId="41" fontId="31" fillId="39" borderId="100" xfId="1" applyFont="1" applyFill="1" applyBorder="1" applyAlignment="1">
      <alignment horizontal="right"/>
    </xf>
    <xf numFmtId="0" fontId="0" fillId="0" borderId="76" xfId="0" applyBorder="1"/>
    <xf numFmtId="0" fontId="34" fillId="0" borderId="102" xfId="0" applyFont="1" applyFill="1" applyBorder="1"/>
    <xf numFmtId="1" fontId="30" fillId="38" borderId="23" xfId="0" applyNumberFormat="1" applyFont="1" applyFill="1" applyBorder="1" applyAlignment="1">
      <alignment horizontal="center"/>
    </xf>
    <xf numFmtId="1" fontId="30" fillId="38" borderId="103" xfId="0" applyNumberFormat="1" applyFont="1" applyFill="1" applyBorder="1" applyAlignment="1">
      <alignment horizontal="right"/>
    </xf>
    <xf numFmtId="1" fontId="30" fillId="38" borderId="103" xfId="0" applyNumberFormat="1" applyFont="1" applyFill="1" applyBorder="1" applyAlignment="1">
      <alignment horizontal="center"/>
    </xf>
    <xf numFmtId="1" fontId="30" fillId="38" borderId="104" xfId="0" applyNumberFormat="1" applyFont="1" applyFill="1" applyBorder="1" applyAlignment="1">
      <alignment horizontal="center"/>
    </xf>
    <xf numFmtId="1" fontId="30" fillId="37" borderId="102" xfId="0" applyNumberFormat="1" applyFont="1" applyFill="1" applyBorder="1" applyAlignment="1">
      <alignment horizontal="right"/>
    </xf>
    <xf numFmtId="1" fontId="30" fillId="37" borderId="105" xfId="0" applyNumberFormat="1" applyFont="1" applyFill="1" applyBorder="1" applyAlignment="1">
      <alignment horizontal="right"/>
    </xf>
    <xf numFmtId="41" fontId="31" fillId="39" borderId="74" xfId="1" applyFont="1" applyFill="1" applyBorder="1" applyAlignment="1">
      <alignment horizontal="right"/>
    </xf>
    <xf numFmtId="0" fontId="31" fillId="0" borderId="106" xfId="0" applyFont="1" applyFill="1" applyBorder="1"/>
    <xf numFmtId="0" fontId="0" fillId="0" borderId="75" xfId="0" applyBorder="1"/>
    <xf numFmtId="3" fontId="2" fillId="33" borderId="0" xfId="0" applyNumberFormat="1" applyFont="1" applyFill="1" applyBorder="1"/>
    <xf numFmtId="3" fontId="0" fillId="33" borderId="0" xfId="0" applyNumberFormat="1" applyFill="1" applyBorder="1"/>
    <xf numFmtId="0" fontId="39" fillId="34" borderId="1" xfId="0" applyFont="1" applyFill="1" applyBorder="1"/>
    <xf numFmtId="0" fontId="40" fillId="34" borderId="2" xfId="0" applyFont="1" applyFill="1" applyBorder="1"/>
    <xf numFmtId="41" fontId="40" fillId="34" borderId="2" xfId="1" applyFont="1" applyFill="1" applyBorder="1"/>
    <xf numFmtId="41" fontId="5" fillId="34" borderId="2" xfId="1" applyFont="1" applyFill="1" applyBorder="1"/>
    <xf numFmtId="41" fontId="41" fillId="34" borderId="86" xfId="1" applyFont="1" applyFill="1" applyBorder="1"/>
    <xf numFmtId="0" fontId="40" fillId="0" borderId="0" xfId="0" applyFont="1"/>
    <xf numFmtId="41" fontId="2" fillId="0" borderId="0" xfId="1" applyFont="1" applyBorder="1"/>
    <xf numFmtId="49" fontId="2" fillId="33" borderId="33" xfId="0" applyNumberFormat="1" applyFont="1" applyFill="1" applyBorder="1" applyAlignment="1">
      <alignment horizontal="center"/>
    </xf>
    <xf numFmtId="41" fontId="2" fillId="33" borderId="0" xfId="1" applyFont="1" applyFill="1"/>
    <xf numFmtId="41" fontId="22" fillId="0" borderId="86" xfId="0" applyNumberFormat="1" applyFont="1" applyBorder="1"/>
    <xf numFmtId="167" fontId="42" fillId="0" borderId="0" xfId="0" applyNumberFormat="1" applyFont="1" applyAlignment="1">
      <alignment horizontal="center"/>
    </xf>
    <xf numFmtId="0" fontId="37" fillId="0" borderId="0" xfId="43" applyFont="1"/>
    <xf numFmtId="0" fontId="21" fillId="0" borderId="0" xfId="43"/>
    <xf numFmtId="0" fontId="21" fillId="0" borderId="74" xfId="43" applyBorder="1" applyAlignment="1">
      <alignment horizontal="center"/>
    </xf>
    <xf numFmtId="0" fontId="43" fillId="0" borderId="0" xfId="43" applyFont="1"/>
    <xf numFmtId="0" fontId="43" fillId="0" borderId="74" xfId="43" applyFont="1" applyBorder="1" applyAlignment="1">
      <alignment horizontal="center"/>
    </xf>
    <xf numFmtId="0" fontId="43" fillId="0" borderId="41" xfId="43" applyFont="1" applyBorder="1" applyAlignment="1">
      <alignment horizontal="center"/>
    </xf>
    <xf numFmtId="0" fontId="43" fillId="0" borderId="75" xfId="43" applyFont="1" applyBorder="1" applyAlignment="1">
      <alignment horizontal="center"/>
    </xf>
    <xf numFmtId="0" fontId="43" fillId="0" borderId="75" xfId="43" applyFont="1" applyFill="1" applyBorder="1" applyAlignment="1">
      <alignment horizontal="center"/>
    </xf>
    <xf numFmtId="3" fontId="21" fillId="0" borderId="0" xfId="43" applyNumberFormat="1"/>
    <xf numFmtId="168" fontId="21" fillId="0" borderId="0" xfId="43" applyNumberFormat="1" applyFont="1" applyAlignment="1">
      <alignment horizontal="left" indent="1"/>
    </xf>
    <xf numFmtId="3" fontId="21" fillId="0" borderId="10" xfId="43" applyNumberFormat="1" applyBorder="1"/>
    <xf numFmtId="49" fontId="43" fillId="0" borderId="0" xfId="43" applyNumberFormat="1" applyFont="1" applyAlignment="1">
      <alignment horizontal="right" indent="1"/>
    </xf>
    <xf numFmtId="3" fontId="44" fillId="0" borderId="0" xfId="43" applyNumberFormat="1" applyFont="1"/>
    <xf numFmtId="0" fontId="21" fillId="0" borderId="0" xfId="43" applyFont="1" applyAlignment="1">
      <alignment horizontal="left" indent="1"/>
    </xf>
    <xf numFmtId="3" fontId="44" fillId="0" borderId="107" xfId="43" applyNumberFormat="1" applyFont="1" applyBorder="1"/>
    <xf numFmtId="3" fontId="44" fillId="0" borderId="0" xfId="43" applyNumberFormat="1" applyFont="1" applyBorder="1"/>
    <xf numFmtId="3" fontId="21" fillId="0" borderId="87" xfId="43" applyNumberFormat="1" applyBorder="1"/>
    <xf numFmtId="178" fontId="50" fillId="0" borderId="0" xfId="43" applyNumberFormat="1" applyFont="1"/>
    <xf numFmtId="0" fontId="51" fillId="0" borderId="0" xfId="0" applyFont="1" applyAlignment="1">
      <alignment horizontal="left" vertical="center" indent="5"/>
    </xf>
    <xf numFmtId="10" fontId="0" fillId="0" borderId="0" xfId="0" applyNumberFormat="1"/>
    <xf numFmtId="0" fontId="52" fillId="0" borderId="0" xfId="43" applyFont="1"/>
    <xf numFmtId="0" fontId="2" fillId="0" borderId="74" xfId="0" applyFont="1" applyFill="1" applyBorder="1" applyAlignment="1">
      <alignment horizontal="center" textRotation="90"/>
    </xf>
    <xf numFmtId="0" fontId="2" fillId="0" borderId="75" xfId="0" applyFont="1" applyFill="1" applyBorder="1" applyAlignment="1">
      <alignment horizontal="center" textRotation="90"/>
    </xf>
    <xf numFmtId="0" fontId="32" fillId="0" borderId="74" xfId="0" applyFont="1" applyBorder="1" applyAlignment="1">
      <alignment horizontal="center" vertical="center" textRotation="180"/>
    </xf>
    <xf numFmtId="0" fontId="32" fillId="0" borderId="75" xfId="0" applyFont="1" applyBorder="1" applyAlignment="1">
      <alignment horizontal="center" vertical="center" textRotation="180"/>
    </xf>
    <xf numFmtId="0" fontId="4" fillId="36" borderId="0" xfId="0" applyFont="1" applyFill="1" applyAlignment="1">
      <alignment horizontal="center" vertical="center"/>
    </xf>
    <xf numFmtId="0" fontId="5" fillId="36" borderId="0" xfId="0" applyFont="1" applyFill="1" applyAlignment="1">
      <alignment horizontal="center" vertical="center"/>
    </xf>
    <xf numFmtId="0" fontId="2" fillId="0" borderId="74" xfId="0" applyFont="1" applyBorder="1" applyAlignment="1">
      <alignment horizontal="center" vertical="center" textRotation="90"/>
    </xf>
    <xf numFmtId="0" fontId="2" fillId="0" borderId="41" xfId="0" applyFont="1" applyBorder="1" applyAlignment="1">
      <alignment horizontal="center" vertical="center" textRotation="90"/>
    </xf>
    <xf numFmtId="0" fontId="2" fillId="0" borderId="75" xfId="0" applyFont="1" applyBorder="1" applyAlignment="1">
      <alignment horizontal="center" vertical="center" textRotation="90"/>
    </xf>
    <xf numFmtId="0" fontId="32" fillId="0" borderId="41" xfId="0" applyFont="1" applyBorder="1" applyAlignment="1">
      <alignment horizontal="center" vertical="center" textRotation="180"/>
    </xf>
    <xf numFmtId="0" fontId="2" fillId="0" borderId="41" xfId="0" applyFont="1" applyFill="1" applyBorder="1" applyAlignment="1">
      <alignment horizontal="center" textRotation="90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4" fontId="21" fillId="0" borderId="0" xfId="43" applyNumberFormat="1"/>
    <xf numFmtId="14" fontId="37" fillId="0" borderId="0" xfId="43" applyNumberFormat="1" applyFont="1"/>
    <xf numFmtId="14" fontId="43" fillId="0" borderId="74" xfId="43" applyNumberFormat="1" applyFont="1" applyBorder="1" applyAlignment="1">
      <alignment horizontal="center"/>
    </xf>
    <xf numFmtId="14" fontId="43" fillId="0" borderId="75" xfId="43" applyNumberFormat="1" applyFont="1" applyBorder="1" applyAlignment="1">
      <alignment horizontal="center"/>
    </xf>
    <xf numFmtId="14" fontId="43" fillId="0" borderId="0" xfId="43" applyNumberFormat="1" applyFont="1"/>
    <xf numFmtId="14" fontId="21" fillId="0" borderId="0" xfId="43" applyNumberFormat="1" applyFont="1" applyAlignment="1">
      <alignment horizontal="left" indent="1"/>
    </xf>
  </cellXfs>
  <cellStyles count="80">
    <cellStyle name="20% - Accent1" xfId="20" builtinId="30" customBuiltin="1"/>
    <cellStyle name="20% - Accent1 2" xfId="46"/>
    <cellStyle name="20% - Accent2" xfId="24" builtinId="34" customBuiltin="1"/>
    <cellStyle name="20% - Accent2 2" xfId="48"/>
    <cellStyle name="20% - Accent3" xfId="28" builtinId="38" customBuiltin="1"/>
    <cellStyle name="20% - Accent3 2" xfId="50"/>
    <cellStyle name="20% - Accent4" xfId="32" builtinId="42" customBuiltin="1"/>
    <cellStyle name="20% - Accent4 2" xfId="52"/>
    <cellStyle name="20% - Accent5" xfId="36" builtinId="46" customBuiltin="1"/>
    <cellStyle name="20% - Accent5 2" xfId="54"/>
    <cellStyle name="20% - Accent6" xfId="40" builtinId="50" customBuiltin="1"/>
    <cellStyle name="20% - Accent6 2" xfId="56"/>
    <cellStyle name="40% - Accent1" xfId="21" builtinId="31" customBuiltin="1"/>
    <cellStyle name="40% - Accent1 2" xfId="47"/>
    <cellStyle name="40% - Accent2" xfId="25" builtinId="35" customBuiltin="1"/>
    <cellStyle name="40% - Accent2 2" xfId="49"/>
    <cellStyle name="40% - Accent3" xfId="29" builtinId="39" customBuiltin="1"/>
    <cellStyle name="40% - Accent3 2" xfId="51"/>
    <cellStyle name="40% - Accent4" xfId="33" builtinId="43" customBuiltin="1"/>
    <cellStyle name="40% - Accent4 2" xfId="53"/>
    <cellStyle name="40% - Accent5" xfId="37" builtinId="47" customBuiltin="1"/>
    <cellStyle name="40% - Accent5 2" xfId="55"/>
    <cellStyle name="40% - Accent6" xfId="41" builtinId="51" customBuiltin="1"/>
    <cellStyle name="40% - Accent6 2" xfId="57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[0]" xfId="1" builtinId="6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ndráttur 0 ..." xfId="65"/>
    <cellStyle name="Inndráttur 3" xfId="66"/>
    <cellStyle name="Inndráttur 3 ..." xfId="67"/>
    <cellStyle name="Inndráttur 6" xfId="68"/>
    <cellStyle name="Inndráttur 6 ..." xfId="69"/>
    <cellStyle name="Inndráttur 9" xfId="70"/>
    <cellStyle name="Inndráttur 9 ..." xfId="71"/>
    <cellStyle name="Input" xfId="10" builtinId="20" customBuiltin="1"/>
    <cellStyle name="Krónur" xfId="72"/>
    <cellStyle name="Linked Cell" xfId="13" builtinId="24" customBuiltin="1"/>
    <cellStyle name="Millifyrirsögn" xfId="73"/>
    <cellStyle name="Neutral" xfId="9" builtinId="28" customBuiltin="1"/>
    <cellStyle name="Normal" xfId="0" builtinId="0"/>
    <cellStyle name="Normal 2" xfId="43"/>
    <cellStyle name="Normal 2 2" xfId="59"/>
    <cellStyle name="Normal 3" xfId="44"/>
    <cellStyle name="Normal 3 2" xfId="60"/>
    <cellStyle name="Normal 4" xfId="58"/>
    <cellStyle name="Normal 4 2" xfId="64"/>
    <cellStyle name="Note" xfId="16" builtinId="10" customBuiltin="1"/>
    <cellStyle name="Note 2" xfId="45"/>
    <cellStyle name="Output" xfId="11" builtinId="21" customBuiltin="1"/>
    <cellStyle name="rubr1" xfId="61"/>
    <cellStyle name="rubr2" xfId="62"/>
    <cellStyle name="Samtala" xfId="74"/>
    <cellStyle name="Samtala - lokaniðurst." xfId="75"/>
    <cellStyle name="Samtala - undirstr" xfId="76"/>
    <cellStyle name="Samtala - yfirstr." xfId="77"/>
    <cellStyle name="Title" xfId="2" builtinId="15" customBuiltin="1"/>
    <cellStyle name="Total" xfId="18" builtinId="25" customBuiltin="1"/>
    <cellStyle name="Venjuleg 2" xfId="63"/>
    <cellStyle name="Warning Text" xfId="15" builtinId="11" customBuiltin="1"/>
    <cellStyle name="Yfirskrift" xfId="78"/>
    <cellStyle name="Yfirskrift - millistærð" xfId="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21</xdr:row>
      <xdr:rowOff>95250</xdr:rowOff>
    </xdr:from>
    <xdr:to>
      <xdr:col>1</xdr:col>
      <xdr:colOff>9525</xdr:colOff>
      <xdr:row>21</xdr:row>
      <xdr:rowOff>95250</xdr:rowOff>
    </xdr:to>
    <xdr:cxnSp macro="">
      <xdr:nvCxnSpPr>
        <xdr:cNvPr id="2" name="Straight Connector 1"/>
        <xdr:cNvCxnSpPr/>
      </xdr:nvCxnSpPr>
      <xdr:spPr>
        <a:xfrm>
          <a:off x="19050" y="4202430"/>
          <a:ext cx="744855" cy="0"/>
        </a:xfrm>
        <a:prstGeom prst="line">
          <a:avLst/>
        </a:prstGeom>
        <a:ln w="25400"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21</xdr:row>
      <xdr:rowOff>95250</xdr:rowOff>
    </xdr:from>
    <xdr:to>
      <xdr:col>7</xdr:col>
      <xdr:colOff>0</xdr:colOff>
      <xdr:row>21</xdr:row>
      <xdr:rowOff>95250</xdr:rowOff>
    </xdr:to>
    <xdr:cxnSp macro="">
      <xdr:nvCxnSpPr>
        <xdr:cNvPr id="3" name="Straight Connector 2"/>
        <xdr:cNvCxnSpPr/>
      </xdr:nvCxnSpPr>
      <xdr:spPr>
        <a:xfrm>
          <a:off x="4411980" y="4202430"/>
          <a:ext cx="731520" cy="0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22</xdr:row>
      <xdr:rowOff>95250</xdr:rowOff>
    </xdr:from>
    <xdr:to>
      <xdr:col>1</xdr:col>
      <xdr:colOff>0</xdr:colOff>
      <xdr:row>22</xdr:row>
      <xdr:rowOff>95250</xdr:rowOff>
    </xdr:to>
    <xdr:cxnSp macro="">
      <xdr:nvCxnSpPr>
        <xdr:cNvPr id="4" name="Straight Connector 3"/>
        <xdr:cNvCxnSpPr/>
      </xdr:nvCxnSpPr>
      <xdr:spPr>
        <a:xfrm>
          <a:off x="9525" y="4385310"/>
          <a:ext cx="744855" cy="0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22</xdr:row>
      <xdr:rowOff>95250</xdr:rowOff>
    </xdr:from>
    <xdr:to>
      <xdr:col>1</xdr:col>
      <xdr:colOff>9525</xdr:colOff>
      <xdr:row>22</xdr:row>
      <xdr:rowOff>95250</xdr:rowOff>
    </xdr:to>
    <xdr:cxnSp macro="">
      <xdr:nvCxnSpPr>
        <xdr:cNvPr id="5" name="Straight Connector 4"/>
        <xdr:cNvCxnSpPr/>
      </xdr:nvCxnSpPr>
      <xdr:spPr>
        <a:xfrm>
          <a:off x="19050" y="4385310"/>
          <a:ext cx="744855" cy="0"/>
        </a:xfrm>
        <a:prstGeom prst="line">
          <a:avLst/>
        </a:prstGeom>
        <a:ln w="25400">
          <a:solidFill>
            <a:srgbClr val="0070C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E21"/>
  <sheetViews>
    <sheetView workbookViewId="0">
      <selection activeCell="B15" sqref="B15"/>
    </sheetView>
  </sheetViews>
  <sheetFormatPr defaultRowHeight="15" x14ac:dyDescent="0.25"/>
  <cols>
    <col min="1" max="1" width="26" customWidth="1"/>
  </cols>
  <sheetData>
    <row r="3" spans="1:5" x14ac:dyDescent="0.25">
      <c r="A3" t="s">
        <v>4</v>
      </c>
      <c r="B3" s="6">
        <v>0</v>
      </c>
    </row>
    <row r="4" spans="1:5" x14ac:dyDescent="0.25">
      <c r="A4" s="2" t="s">
        <v>5</v>
      </c>
      <c r="B4" s="6">
        <v>0</v>
      </c>
    </row>
    <row r="5" spans="1:5" x14ac:dyDescent="0.25">
      <c r="A5" s="2" t="s">
        <v>6</v>
      </c>
      <c r="B5" s="6">
        <v>0</v>
      </c>
    </row>
    <row r="6" spans="1:5" x14ac:dyDescent="0.25">
      <c r="A6" s="7" t="s">
        <v>0</v>
      </c>
      <c r="B6" s="6">
        <v>0</v>
      </c>
    </row>
    <row r="7" spans="1:5" x14ac:dyDescent="0.25">
      <c r="A7" s="7" t="s">
        <v>7</v>
      </c>
      <c r="B7" s="6">
        <v>0</v>
      </c>
    </row>
    <row r="8" spans="1:5" x14ac:dyDescent="0.25">
      <c r="A8" s="7" t="s">
        <v>1</v>
      </c>
      <c r="B8" s="6">
        <v>0</v>
      </c>
    </row>
    <row r="9" spans="1:5" x14ac:dyDescent="0.25">
      <c r="A9" s="7" t="s">
        <v>69</v>
      </c>
      <c r="B9" s="6">
        <v>0</v>
      </c>
    </row>
    <row r="10" spans="1:5" x14ac:dyDescent="0.25">
      <c r="A10" s="7" t="s">
        <v>70</v>
      </c>
      <c r="B10" s="6">
        <v>0</v>
      </c>
      <c r="E10" t="s">
        <v>8</v>
      </c>
    </row>
    <row r="11" spans="1:5" x14ac:dyDescent="0.25">
      <c r="A11" s="7" t="s">
        <v>128</v>
      </c>
      <c r="B11" s="6">
        <v>0</v>
      </c>
    </row>
    <row r="12" spans="1:5" x14ac:dyDescent="0.25">
      <c r="A12" s="7" t="s">
        <v>129</v>
      </c>
      <c r="B12" s="6">
        <v>0</v>
      </c>
    </row>
    <row r="15" spans="1:5" x14ac:dyDescent="0.25">
      <c r="A15" t="s">
        <v>13</v>
      </c>
      <c r="B15" s="6">
        <v>365.3</v>
      </c>
      <c r="C15" s="9">
        <v>40299</v>
      </c>
    </row>
    <row r="16" spans="1:5" x14ac:dyDescent="0.25">
      <c r="A16" s="1" t="s">
        <v>13</v>
      </c>
      <c r="B16" s="6">
        <v>403.3</v>
      </c>
      <c r="C16" s="9">
        <v>41275</v>
      </c>
    </row>
    <row r="17" spans="1:3" x14ac:dyDescent="0.25">
      <c r="A17" t="s">
        <v>18</v>
      </c>
      <c r="B17" s="11">
        <v>415.9</v>
      </c>
      <c r="C17" s="9">
        <v>41640</v>
      </c>
    </row>
    <row r="18" spans="1:3" x14ac:dyDescent="0.25">
      <c r="A18" s="114" t="s">
        <v>18</v>
      </c>
      <c r="B18" s="6">
        <v>434</v>
      </c>
      <c r="C18" s="9">
        <v>42370</v>
      </c>
    </row>
    <row r="20" spans="1:3" x14ac:dyDescent="0.25">
      <c r="A20" t="s">
        <v>126</v>
      </c>
      <c r="B20" s="108">
        <v>1</v>
      </c>
    </row>
    <row r="21" spans="1:3" x14ac:dyDescent="0.25">
      <c r="A21" t="s">
        <v>127</v>
      </c>
      <c r="B21" s="108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L40"/>
  <sheetViews>
    <sheetView topLeftCell="A7" zoomScale="80" zoomScaleNormal="80" workbookViewId="0">
      <selection activeCell="I19" sqref="I19"/>
    </sheetView>
  </sheetViews>
  <sheetFormatPr defaultColWidth="8.85546875" defaultRowHeight="15" x14ac:dyDescent="0.25"/>
  <cols>
    <col min="1" max="1" width="34.5703125" style="114" customWidth="1"/>
    <col min="2" max="2" width="8.85546875" style="114"/>
    <col min="3" max="4" width="15.28515625" style="114" customWidth="1"/>
    <col min="5" max="5" width="9.5703125" style="114" customWidth="1"/>
    <col min="6" max="6" width="29.140625" style="114" customWidth="1"/>
    <col min="7" max="7" width="17.28515625" style="114" customWidth="1"/>
    <col min="8" max="8" width="20.42578125" style="114" customWidth="1"/>
    <col min="9" max="9" width="21.28515625" style="114" customWidth="1"/>
    <col min="10" max="11" width="8.85546875" style="114"/>
    <col min="12" max="12" width="9.42578125" style="114" bestFit="1" customWidth="1"/>
    <col min="13" max="16384" width="8.85546875" style="114"/>
  </cols>
  <sheetData>
    <row r="2" spans="1:9" x14ac:dyDescent="0.25">
      <c r="A2" s="8"/>
    </row>
    <row r="3" spans="1:9" ht="15.75" thickBot="1" x14ac:dyDescent="0.3"/>
    <row r="4" spans="1:9" ht="15.75" thickBot="1" x14ac:dyDescent="0.3">
      <c r="A4" s="16" t="s">
        <v>9</v>
      </c>
      <c r="B4" s="17" t="s">
        <v>14</v>
      </c>
      <c r="C4" s="18" t="s">
        <v>20</v>
      </c>
      <c r="D4" s="18" t="s">
        <v>143</v>
      </c>
      <c r="E4" s="18" t="s">
        <v>15</v>
      </c>
      <c r="F4" s="18" t="s">
        <v>19</v>
      </c>
      <c r="G4" s="18" t="s">
        <v>142</v>
      </c>
      <c r="H4" s="18" t="s">
        <v>37</v>
      </c>
      <c r="I4" s="19">
        <v>2016</v>
      </c>
    </row>
    <row r="6" spans="1:9" x14ac:dyDescent="0.25">
      <c r="A6" s="14" t="s">
        <v>10</v>
      </c>
    </row>
    <row r="7" spans="1:9" x14ac:dyDescent="0.25">
      <c r="A7" s="8" t="s">
        <v>11</v>
      </c>
    </row>
    <row r="8" spans="1:9" x14ac:dyDescent="0.25">
      <c r="A8" s="13" t="s">
        <v>21</v>
      </c>
      <c r="B8" s="6" t="s">
        <v>12</v>
      </c>
      <c r="C8" s="15">
        <v>2250</v>
      </c>
      <c r="D8" s="15">
        <v>2061</v>
      </c>
      <c r="E8" s="15">
        <v>12</v>
      </c>
      <c r="F8" s="15">
        <v>550</v>
      </c>
      <c r="G8" s="15">
        <f>F8*Forsendur!$B$18/Forsendur!$B$15</f>
        <v>653.43553243909116</v>
      </c>
      <c r="H8" s="15">
        <f>C8*E8*F8</f>
        <v>14850000</v>
      </c>
      <c r="I8" s="20">
        <f>D8*E8*G8</f>
        <v>16160767.588283602</v>
      </c>
    </row>
    <row r="9" spans="1:9" x14ac:dyDescent="0.25">
      <c r="A9" s="13" t="s">
        <v>22</v>
      </c>
      <c r="B9" s="6" t="s">
        <v>12</v>
      </c>
      <c r="C9" s="15">
        <v>23</v>
      </c>
      <c r="D9" s="15">
        <v>123</v>
      </c>
      <c r="E9" s="15">
        <v>12</v>
      </c>
      <c r="F9" s="12">
        <v>1302</v>
      </c>
      <c r="G9" s="15">
        <f>F9*Forsendur!$B$18/Forsendur!$B$15</f>
        <v>1546.8601149739939</v>
      </c>
      <c r="H9" s="15">
        <f>C9*E9*F9</f>
        <v>359352</v>
      </c>
      <c r="I9" s="20">
        <f>D9*E9*G9</f>
        <v>2283165.5297016148</v>
      </c>
    </row>
    <row r="10" spans="1:9" x14ac:dyDescent="0.25">
      <c r="A10" s="13" t="s">
        <v>23</v>
      </c>
      <c r="B10" s="6" t="s">
        <v>12</v>
      </c>
      <c r="C10" s="15">
        <v>0</v>
      </c>
      <c r="D10" s="15">
        <v>0</v>
      </c>
      <c r="E10" s="15">
        <v>12</v>
      </c>
      <c r="F10" s="12">
        <v>1500</v>
      </c>
      <c r="G10" s="15">
        <f>F10*Forsendur!$B$18/Forsendur!$B$15</f>
        <v>1782.0969066520668</v>
      </c>
      <c r="H10" s="15">
        <f>C10*E10*F10</f>
        <v>0</v>
      </c>
      <c r="I10" s="20">
        <f>D10*E10*G10</f>
        <v>0</v>
      </c>
    </row>
    <row r="11" spans="1:9" x14ac:dyDescent="0.25">
      <c r="B11" s="6"/>
      <c r="C11" s="15"/>
      <c r="D11" s="12"/>
      <c r="E11" s="12"/>
      <c r="F11" s="12"/>
      <c r="G11" s="15"/>
      <c r="H11" s="15"/>
      <c r="I11" s="20"/>
    </row>
    <row r="12" spans="1:9" x14ac:dyDescent="0.25">
      <c r="A12" s="8" t="s">
        <v>24</v>
      </c>
      <c r="B12" s="6"/>
      <c r="C12" s="15"/>
      <c r="D12" s="12"/>
      <c r="E12" s="12"/>
      <c r="F12" s="12"/>
      <c r="G12" s="15"/>
      <c r="H12" s="15"/>
      <c r="I12" s="20"/>
    </row>
    <row r="13" spans="1:9" x14ac:dyDescent="0.25">
      <c r="A13" s="114" t="s">
        <v>25</v>
      </c>
      <c r="B13" s="6" t="s">
        <v>12</v>
      </c>
      <c r="C13" s="15">
        <v>2250</v>
      </c>
      <c r="D13" s="15">
        <v>1676</v>
      </c>
      <c r="E13" s="12">
        <v>12</v>
      </c>
      <c r="F13" s="12">
        <v>265</v>
      </c>
      <c r="G13" s="15">
        <f>F13*Forsendur!$B$18/Forsendur!$B$15</f>
        <v>314.83712017519844</v>
      </c>
      <c r="H13" s="15">
        <f>C13*E13*F13</f>
        <v>7155000</v>
      </c>
      <c r="I13" s="20">
        <f>D13*E13*G13</f>
        <v>6332004.1609635912</v>
      </c>
    </row>
    <row r="14" spans="1:9" x14ac:dyDescent="0.25">
      <c r="A14" s="114" t="s">
        <v>22</v>
      </c>
      <c r="B14" s="6" t="s">
        <v>12</v>
      </c>
      <c r="C14" s="15">
        <v>23</v>
      </c>
      <c r="D14" s="15">
        <v>104</v>
      </c>
      <c r="E14" s="12">
        <v>12</v>
      </c>
      <c r="F14" s="12">
        <v>650</v>
      </c>
      <c r="G14" s="15">
        <f>F14*Forsendur!$B$18/Forsendur!$B$15</f>
        <v>772.24199288256227</v>
      </c>
      <c r="H14" s="15">
        <f>C14*E14*F14</f>
        <v>179400</v>
      </c>
      <c r="I14" s="20">
        <f>D14*E14*G14</f>
        <v>963758.00711743766</v>
      </c>
    </row>
    <row r="15" spans="1:9" x14ac:dyDescent="0.25">
      <c r="A15" s="114" t="s">
        <v>23</v>
      </c>
      <c r="B15" s="6" t="s">
        <v>12</v>
      </c>
      <c r="C15" s="15">
        <v>0</v>
      </c>
      <c r="D15" s="15">
        <v>0</v>
      </c>
      <c r="E15" s="12">
        <v>12</v>
      </c>
      <c r="F15" s="12">
        <v>750</v>
      </c>
      <c r="G15" s="15">
        <f>F15*Forsendur!$B$18/Forsendur!$B$15</f>
        <v>891.04845332603338</v>
      </c>
      <c r="H15" s="15">
        <f>C15*E15*F15</f>
        <v>0</v>
      </c>
      <c r="I15" s="20">
        <f>D15*E15*G15</f>
        <v>0</v>
      </c>
    </row>
    <row r="16" spans="1:9" x14ac:dyDescent="0.25">
      <c r="C16" s="15"/>
      <c r="D16" s="12"/>
      <c r="E16" s="12"/>
      <c r="F16" s="12"/>
      <c r="G16" s="15"/>
      <c r="H16" s="15"/>
      <c r="I16" s="20"/>
    </row>
    <row r="17" spans="1:12" x14ac:dyDescent="0.25">
      <c r="A17" s="8" t="s">
        <v>26</v>
      </c>
      <c r="C17" s="15"/>
      <c r="D17" s="12"/>
      <c r="E17" s="12"/>
      <c r="F17" s="12"/>
      <c r="G17" s="15"/>
      <c r="H17" s="15"/>
      <c r="I17" s="20"/>
    </row>
    <row r="18" spans="1:12" x14ac:dyDescent="0.25">
      <c r="A18" s="114" t="s">
        <v>33</v>
      </c>
      <c r="B18" s="6" t="s">
        <v>34</v>
      </c>
      <c r="C18" s="15">
        <v>1</v>
      </c>
      <c r="D18" s="12">
        <v>0</v>
      </c>
      <c r="E18" s="12">
        <v>1</v>
      </c>
      <c r="F18" s="12">
        <v>800000</v>
      </c>
      <c r="G18" s="15"/>
      <c r="H18" s="15">
        <f>C18*E18*F18</f>
        <v>800000</v>
      </c>
      <c r="I18" s="20">
        <v>1000000</v>
      </c>
    </row>
    <row r="19" spans="1:12" x14ac:dyDescent="0.25">
      <c r="C19" s="15"/>
      <c r="D19" s="12"/>
      <c r="E19" s="12"/>
      <c r="F19" s="12"/>
      <c r="G19" s="15"/>
      <c r="H19" s="15"/>
      <c r="I19" s="20"/>
    </row>
    <row r="20" spans="1:12" ht="15.75" thickBot="1" x14ac:dyDescent="0.3">
      <c r="A20" s="21" t="s">
        <v>35</v>
      </c>
      <c r="B20" s="22"/>
      <c r="C20" s="23"/>
      <c r="D20" s="24"/>
      <c r="E20" s="24"/>
      <c r="F20" s="24"/>
      <c r="G20" s="23"/>
      <c r="H20" s="28">
        <f>SUM(H8:H19)</f>
        <v>23343752</v>
      </c>
      <c r="I20" s="28">
        <f>SUM(I8:I19)</f>
        <v>26739695.286066249</v>
      </c>
    </row>
    <row r="21" spans="1:12" x14ac:dyDescent="0.25">
      <c r="C21" s="15"/>
      <c r="D21" s="12"/>
      <c r="E21" s="12"/>
      <c r="F21" s="12"/>
      <c r="G21" s="15"/>
      <c r="H21" s="15"/>
      <c r="I21" s="20"/>
    </row>
    <row r="22" spans="1:12" x14ac:dyDescent="0.25">
      <c r="A22" s="14" t="s">
        <v>27</v>
      </c>
      <c r="C22" s="15"/>
      <c r="D22" s="12"/>
      <c r="E22" s="12"/>
      <c r="F22" s="12"/>
      <c r="G22" s="15"/>
      <c r="H22" s="15"/>
      <c r="I22" s="20"/>
    </row>
    <row r="23" spans="1:12" x14ac:dyDescent="0.25">
      <c r="A23" s="8" t="s">
        <v>71</v>
      </c>
      <c r="B23" s="6"/>
      <c r="C23" s="15"/>
      <c r="D23" s="12"/>
      <c r="E23" s="12"/>
      <c r="F23" s="12"/>
      <c r="G23" s="15"/>
      <c r="H23" s="15"/>
      <c r="I23" s="20"/>
    </row>
    <row r="24" spans="1:12" x14ac:dyDescent="0.25">
      <c r="A24" s="114" t="s">
        <v>28</v>
      </c>
      <c r="B24" s="6" t="s">
        <v>12</v>
      </c>
      <c r="C24" s="15">
        <v>2170</v>
      </c>
      <c r="D24" s="15">
        <v>2061</v>
      </c>
      <c r="E24" s="12">
        <v>12</v>
      </c>
      <c r="F24" s="12">
        <v>143</v>
      </c>
      <c r="G24" s="15">
        <f>F24*Forsendur!$B$18/Forsendur!$B$15</f>
        <v>169.89323843416369</v>
      </c>
      <c r="H24" s="15">
        <f>C24*E24*F24</f>
        <v>3723720</v>
      </c>
      <c r="I24" s="20">
        <f>D24*E24*G24*J24</f>
        <v>0</v>
      </c>
      <c r="J24" s="114">
        <v>0</v>
      </c>
      <c r="L24" s="20"/>
    </row>
    <row r="25" spans="1:12" x14ac:dyDescent="0.25">
      <c r="A25" s="114" t="s">
        <v>29</v>
      </c>
      <c r="B25" s="6" t="s">
        <v>12</v>
      </c>
      <c r="C25" s="15">
        <v>108</v>
      </c>
      <c r="D25" s="15">
        <v>123</v>
      </c>
      <c r="E25" s="12">
        <v>12</v>
      </c>
      <c r="F25" s="12">
        <v>300</v>
      </c>
      <c r="G25" s="15">
        <f>F25*Forsendur!$B$18/Forsendur!$B$15</f>
        <v>356.41938133041333</v>
      </c>
      <c r="H25" s="15">
        <f>C25*E25*F25</f>
        <v>388800</v>
      </c>
      <c r="I25" s="20">
        <f>D25*E25*G25*J24</f>
        <v>0</v>
      </c>
    </row>
    <row r="26" spans="1:12" x14ac:dyDescent="0.25">
      <c r="A26" s="114" t="s">
        <v>30</v>
      </c>
      <c r="B26" s="6" t="s">
        <v>12</v>
      </c>
      <c r="C26" s="15">
        <v>0</v>
      </c>
      <c r="D26" s="15">
        <v>4</v>
      </c>
      <c r="E26" s="12">
        <v>12</v>
      </c>
      <c r="F26" s="12">
        <v>400</v>
      </c>
      <c r="G26" s="15">
        <f>F26*Forsendur!$B$18/Forsendur!$B$15</f>
        <v>475.22584177388444</v>
      </c>
      <c r="H26" s="15">
        <f>C26*E26*F26</f>
        <v>0</v>
      </c>
      <c r="I26" s="20">
        <f>D26*E26*G26*J24</f>
        <v>0</v>
      </c>
    </row>
    <row r="27" spans="1:12" x14ac:dyDescent="0.25">
      <c r="B27" s="6"/>
      <c r="C27" s="15"/>
      <c r="D27" s="12"/>
      <c r="E27" s="12"/>
      <c r="F27" s="12"/>
      <c r="G27" s="15"/>
      <c r="H27" s="15"/>
      <c r="I27" s="20"/>
    </row>
    <row r="28" spans="1:12" x14ac:dyDescent="0.25">
      <c r="A28" s="8" t="s">
        <v>31</v>
      </c>
      <c r="B28" s="6"/>
      <c r="C28" s="15"/>
      <c r="D28" s="12"/>
      <c r="E28" s="12"/>
      <c r="F28" s="12"/>
      <c r="G28" s="15"/>
      <c r="H28" s="15"/>
      <c r="I28" s="20"/>
    </row>
    <row r="29" spans="1:12" x14ac:dyDescent="0.25">
      <c r="A29" s="114" t="s">
        <v>28</v>
      </c>
      <c r="B29" s="6" t="s">
        <v>12</v>
      </c>
      <c r="C29" s="15">
        <v>50</v>
      </c>
      <c r="D29" s="15">
        <v>50</v>
      </c>
      <c r="E29" s="12">
        <v>1</v>
      </c>
      <c r="F29" s="12">
        <v>8000</v>
      </c>
      <c r="G29" s="15">
        <f>F29*Forsendur!$B$18/Forsendur!$B$15</f>
        <v>9504.5168354776888</v>
      </c>
      <c r="H29" s="15">
        <f>C29*E29*F29</f>
        <v>400000</v>
      </c>
      <c r="I29" s="20">
        <f>D29*E29*G29</f>
        <v>475225.84177388443</v>
      </c>
    </row>
    <row r="30" spans="1:12" x14ac:dyDescent="0.25">
      <c r="A30" s="114" t="s">
        <v>29</v>
      </c>
      <c r="B30" s="6" t="s">
        <v>12</v>
      </c>
      <c r="C30" s="15">
        <v>10</v>
      </c>
      <c r="D30" s="15">
        <v>10</v>
      </c>
      <c r="E30" s="12">
        <v>1</v>
      </c>
      <c r="F30" s="12">
        <v>25000</v>
      </c>
      <c r="G30" s="15">
        <f>F30*Forsendur!$B$18/Forsendur!$B$15</f>
        <v>29701.61511086778</v>
      </c>
      <c r="H30" s="15">
        <f>C30*E30*F30</f>
        <v>250000</v>
      </c>
      <c r="I30" s="20">
        <f>D30*E30*G30</f>
        <v>297016.15110867779</v>
      </c>
    </row>
    <row r="31" spans="1:12" x14ac:dyDescent="0.25">
      <c r="A31" s="114" t="s">
        <v>30</v>
      </c>
      <c r="B31" s="6" t="s">
        <v>12</v>
      </c>
      <c r="C31" s="15">
        <v>0</v>
      </c>
      <c r="D31" s="15">
        <v>1</v>
      </c>
      <c r="E31" s="12">
        <v>1</v>
      </c>
      <c r="F31" s="12">
        <v>35000</v>
      </c>
      <c r="G31" s="15">
        <f>F31*Forsendur!$B$18/Forsendur!$B$15</f>
        <v>41582.261155214888</v>
      </c>
      <c r="H31" s="15">
        <f>C31*E31*F31</f>
        <v>0</v>
      </c>
      <c r="I31" s="20">
        <f>D31*E31*G31</f>
        <v>41582.261155214888</v>
      </c>
    </row>
    <row r="32" spans="1:12" x14ac:dyDescent="0.25">
      <c r="C32" s="15"/>
      <c r="D32" s="12"/>
      <c r="E32" s="12"/>
      <c r="F32" s="12"/>
      <c r="G32" s="12"/>
      <c r="H32" s="12"/>
    </row>
    <row r="33" spans="1:9" ht="15.75" thickBot="1" x14ac:dyDescent="0.3">
      <c r="A33" s="21" t="s">
        <v>36</v>
      </c>
      <c r="B33" s="22"/>
      <c r="C33" s="24"/>
      <c r="D33" s="24"/>
      <c r="E33" s="24"/>
      <c r="F33" s="24"/>
      <c r="G33" s="24"/>
      <c r="H33" s="28">
        <f>SUM(H24:H31)</f>
        <v>4762520</v>
      </c>
      <c r="I33" s="28">
        <f>SUM(I24:I31)</f>
        <v>813824.25403777708</v>
      </c>
    </row>
    <row r="34" spans="1:9" ht="15.75" thickBot="1" x14ac:dyDescent="0.3">
      <c r="C34" s="12"/>
      <c r="D34" s="12"/>
      <c r="E34" s="12"/>
      <c r="F34" s="12"/>
      <c r="G34" s="12"/>
      <c r="H34" s="12"/>
    </row>
    <row r="35" spans="1:9" ht="15.75" thickBot="1" x14ac:dyDescent="0.3">
      <c r="A35" s="25" t="s">
        <v>32</v>
      </c>
      <c r="B35" s="26"/>
      <c r="C35" s="27"/>
      <c r="D35" s="27"/>
      <c r="E35" s="27"/>
      <c r="F35" s="27"/>
      <c r="G35" s="27"/>
      <c r="H35" s="29">
        <f>H20+H33</f>
        <v>28106272</v>
      </c>
      <c r="I35" s="29">
        <f>I20+I33</f>
        <v>27553519.540104028</v>
      </c>
    </row>
    <row r="36" spans="1:9" ht="15.75" thickBot="1" x14ac:dyDescent="0.3"/>
    <row r="37" spans="1:9" s="219" customFormat="1" ht="19.5" thickBot="1" x14ac:dyDescent="0.35">
      <c r="A37" s="214" t="s">
        <v>38</v>
      </c>
      <c r="B37" s="215"/>
      <c r="C37" s="216"/>
      <c r="D37" s="216"/>
      <c r="E37" s="216"/>
      <c r="F37" s="216"/>
      <c r="G37" s="216"/>
      <c r="H37" s="217">
        <f>H35/1.24</f>
        <v>22666348.387096774</v>
      </c>
      <c r="I37" s="218">
        <f>I35/1.24</f>
        <v>22220580.274277441</v>
      </c>
    </row>
    <row r="40" spans="1:9" x14ac:dyDescent="0.25">
      <c r="I40" s="114" t="s">
        <v>8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N3"/>
  <sheetViews>
    <sheetView workbookViewId="0">
      <selection activeCell="N3" sqref="N3"/>
    </sheetView>
  </sheetViews>
  <sheetFormatPr defaultRowHeight="15" x14ac:dyDescent="0.25"/>
  <cols>
    <col min="1" max="1" width="19.5703125" customWidth="1"/>
    <col min="2" max="2" width="10.42578125" bestFit="1" customWidth="1"/>
    <col min="3" max="4" width="11.42578125" bestFit="1" customWidth="1"/>
    <col min="5" max="6" width="10.42578125" bestFit="1" customWidth="1"/>
    <col min="7" max="13" width="11.42578125" bestFit="1" customWidth="1"/>
    <col min="14" max="14" width="13.140625" bestFit="1" customWidth="1"/>
  </cols>
  <sheetData>
    <row r="2" spans="1:14" x14ac:dyDescent="0.25">
      <c r="A2" t="s">
        <v>109</v>
      </c>
      <c r="B2" s="6" t="s">
        <v>130</v>
      </c>
      <c r="C2" s="6" t="s">
        <v>131</v>
      </c>
      <c r="D2" s="6" t="s">
        <v>42</v>
      </c>
      <c r="E2" s="6" t="s">
        <v>132</v>
      </c>
      <c r="F2" s="6" t="s">
        <v>133</v>
      </c>
      <c r="G2" s="6" t="s">
        <v>134</v>
      </c>
      <c r="H2" s="6" t="s">
        <v>135</v>
      </c>
      <c r="I2" s="6" t="s">
        <v>136</v>
      </c>
      <c r="J2" s="6" t="s">
        <v>137</v>
      </c>
      <c r="K2" s="6" t="s">
        <v>138</v>
      </c>
      <c r="L2" s="6" t="s">
        <v>139</v>
      </c>
      <c r="M2" s="6" t="s">
        <v>140</v>
      </c>
      <c r="N2" s="6" t="s">
        <v>3</v>
      </c>
    </row>
    <row r="3" spans="1:14" x14ac:dyDescent="0.25">
      <c r="A3" t="s">
        <v>141</v>
      </c>
      <c r="B3" s="15">
        <v>55705</v>
      </c>
      <c r="C3" s="15">
        <v>27887</v>
      </c>
      <c r="D3" s="15">
        <v>272097</v>
      </c>
      <c r="E3" s="15">
        <v>35280</v>
      </c>
      <c r="F3" s="15">
        <v>97020</v>
      </c>
      <c r="G3" s="15">
        <v>147735</v>
      </c>
      <c r="H3" s="15">
        <v>57125</v>
      </c>
      <c r="I3" s="15">
        <v>209607</v>
      </c>
      <c r="J3" s="15">
        <v>42281</v>
      </c>
      <c r="K3" s="15">
        <v>100000</v>
      </c>
      <c r="L3" s="15">
        <v>100000</v>
      </c>
      <c r="M3" s="15">
        <v>100000</v>
      </c>
      <c r="N3" s="103">
        <f>SUM(B3:M3)</f>
        <v>1244737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48"/>
  <sheetViews>
    <sheetView workbookViewId="0">
      <selection activeCell="G49" sqref="G49"/>
    </sheetView>
  </sheetViews>
  <sheetFormatPr defaultColWidth="8.85546875" defaultRowHeight="15" x14ac:dyDescent="0.25"/>
  <cols>
    <col min="1" max="1" width="33.28515625" style="114" customWidth="1"/>
    <col min="2" max="2" width="14.7109375" style="114" customWidth="1"/>
    <col min="3" max="15" width="10.7109375" style="114" customWidth="1"/>
    <col min="16" max="16" width="14.42578125" style="114" customWidth="1"/>
    <col min="17" max="17" width="10.7109375" style="114" customWidth="1"/>
    <col min="18" max="16384" width="8.85546875" style="114"/>
  </cols>
  <sheetData>
    <row r="2" spans="1:18" ht="15.75" x14ac:dyDescent="0.25">
      <c r="A2" s="30" t="s">
        <v>39</v>
      </c>
      <c r="P2" s="12"/>
    </row>
    <row r="3" spans="1:18" ht="15.75" thickBot="1" x14ac:dyDescent="0.3">
      <c r="A3" s="114" t="s">
        <v>68</v>
      </c>
      <c r="O3" s="6">
        <v>6.95</v>
      </c>
      <c r="P3" s="117">
        <f>7.5</f>
        <v>7.5</v>
      </c>
      <c r="Q3" s="113"/>
    </row>
    <row r="4" spans="1:18" x14ac:dyDescent="0.25">
      <c r="A4" s="31"/>
      <c r="B4" s="32">
        <v>2000</v>
      </c>
      <c r="C4" s="33">
        <v>2001</v>
      </c>
      <c r="D4" s="33">
        <v>2002</v>
      </c>
      <c r="E4" s="33">
        <v>2003</v>
      </c>
      <c r="F4" s="33">
        <v>2004</v>
      </c>
      <c r="G4" s="33">
        <v>2005</v>
      </c>
      <c r="H4" s="33">
        <v>2006</v>
      </c>
      <c r="I4" s="33">
        <v>2007</v>
      </c>
      <c r="J4" s="33">
        <v>2008</v>
      </c>
      <c r="K4" s="33">
        <v>2009</v>
      </c>
      <c r="L4" s="34">
        <v>2010</v>
      </c>
      <c r="M4" s="33">
        <v>2011</v>
      </c>
      <c r="N4" s="35">
        <v>2012</v>
      </c>
      <c r="O4" s="36">
        <v>2013</v>
      </c>
      <c r="P4" s="131">
        <v>2015</v>
      </c>
      <c r="Q4" s="130" t="s">
        <v>194</v>
      </c>
    </row>
    <row r="5" spans="1:18" x14ac:dyDescent="0.25">
      <c r="A5" s="37" t="s">
        <v>40</v>
      </c>
      <c r="B5" s="38">
        <v>205380</v>
      </c>
      <c r="C5" s="39">
        <v>222680</v>
      </c>
      <c r="D5" s="39">
        <v>213930</v>
      </c>
      <c r="E5" s="39">
        <v>197400</v>
      </c>
      <c r="F5" s="39">
        <v>233260</v>
      </c>
      <c r="G5" s="39">
        <v>190780</v>
      </c>
      <c r="H5" s="40">
        <v>242600</v>
      </c>
      <c r="I5" s="39">
        <v>225860</v>
      </c>
      <c r="J5" s="39">
        <v>242240</v>
      </c>
      <c r="K5" s="39">
        <v>222010</v>
      </c>
      <c r="L5" s="41">
        <v>185300</v>
      </c>
      <c r="M5" s="39">
        <v>120060</v>
      </c>
      <c r="N5" s="42">
        <v>115020</v>
      </c>
      <c r="O5" s="43">
        <v>155260</v>
      </c>
      <c r="P5" s="138">
        <v>139340</v>
      </c>
      <c r="Q5" s="107"/>
    </row>
    <row r="6" spans="1:18" x14ac:dyDescent="0.25">
      <c r="A6" s="45" t="s">
        <v>41</v>
      </c>
      <c r="B6" s="46">
        <v>222140</v>
      </c>
      <c r="C6" s="47">
        <v>222140</v>
      </c>
      <c r="D6" s="47">
        <v>143040</v>
      </c>
      <c r="E6" s="47">
        <v>161840</v>
      </c>
      <c r="F6" s="47">
        <v>191420</v>
      </c>
      <c r="G6" s="47">
        <v>191940</v>
      </c>
      <c r="H6" s="52">
        <v>170460</v>
      </c>
      <c r="I6" s="52">
        <v>156790</v>
      </c>
      <c r="J6" s="52">
        <v>189460</v>
      </c>
      <c r="K6" s="52">
        <v>163940</v>
      </c>
      <c r="L6" s="52">
        <v>145480</v>
      </c>
      <c r="M6" s="47">
        <v>91860</v>
      </c>
      <c r="N6" s="49">
        <v>129920</v>
      </c>
      <c r="O6" s="50">
        <v>83680</v>
      </c>
      <c r="P6" s="138">
        <v>117640</v>
      </c>
      <c r="Q6" s="107"/>
    </row>
    <row r="7" spans="1:18" x14ac:dyDescent="0.25">
      <c r="A7" s="45" t="s">
        <v>42</v>
      </c>
      <c r="B7" s="46">
        <v>221310</v>
      </c>
      <c r="C7" s="47">
        <v>244650</v>
      </c>
      <c r="D7" s="47">
        <v>160900</v>
      </c>
      <c r="E7" s="47">
        <v>202000</v>
      </c>
      <c r="F7" s="47">
        <v>234480</v>
      </c>
      <c r="G7" s="47">
        <v>233920</v>
      </c>
      <c r="H7" s="52">
        <v>216840</v>
      </c>
      <c r="I7" s="52">
        <v>203160</v>
      </c>
      <c r="J7" s="52">
        <v>193000</v>
      </c>
      <c r="K7" s="52">
        <v>195900</v>
      </c>
      <c r="L7" s="52">
        <v>217800</v>
      </c>
      <c r="M7" s="47">
        <v>144420</v>
      </c>
      <c r="N7" s="49">
        <v>104440</v>
      </c>
      <c r="O7" s="50">
        <v>100140</v>
      </c>
      <c r="P7" s="138">
        <v>117660</v>
      </c>
      <c r="Q7" s="107"/>
    </row>
    <row r="8" spans="1:18" x14ac:dyDescent="0.25">
      <c r="A8" s="45" t="s">
        <v>43</v>
      </c>
      <c r="B8" s="46">
        <v>250580</v>
      </c>
      <c r="C8" s="47">
        <v>213680</v>
      </c>
      <c r="D8" s="47">
        <v>193960</v>
      </c>
      <c r="E8" s="47">
        <v>196820</v>
      </c>
      <c r="F8" s="47">
        <v>175480</v>
      </c>
      <c r="G8" s="47">
        <v>218980</v>
      </c>
      <c r="H8" s="52">
        <v>183120</v>
      </c>
      <c r="I8" s="52">
        <v>198200</v>
      </c>
      <c r="J8" s="52">
        <v>233680</v>
      </c>
      <c r="K8" s="52">
        <v>188820</v>
      </c>
      <c r="L8" s="52">
        <v>192680</v>
      </c>
      <c r="M8" s="51">
        <v>101440</v>
      </c>
      <c r="N8" s="49">
        <v>126180</v>
      </c>
      <c r="O8" s="50">
        <v>106940</v>
      </c>
      <c r="P8" s="139">
        <v>114520</v>
      </c>
      <c r="Q8" s="107"/>
    </row>
    <row r="9" spans="1:18" x14ac:dyDescent="0.25">
      <c r="A9" s="45" t="s">
        <v>44</v>
      </c>
      <c r="B9" s="46">
        <v>227260</v>
      </c>
      <c r="C9" s="47">
        <v>276220</v>
      </c>
      <c r="D9" s="47">
        <v>230500</v>
      </c>
      <c r="E9" s="47">
        <v>207040</v>
      </c>
      <c r="F9" s="47">
        <v>213000</v>
      </c>
      <c r="G9" s="47">
        <v>219940</v>
      </c>
      <c r="H9" s="52">
        <v>203740</v>
      </c>
      <c r="I9" s="52">
        <v>240420</v>
      </c>
      <c r="J9" s="52">
        <v>220440</v>
      </c>
      <c r="K9" s="52">
        <v>171040</v>
      </c>
      <c r="L9" s="52">
        <v>163440</v>
      </c>
      <c r="M9" s="47">
        <v>142020</v>
      </c>
      <c r="N9" s="49">
        <v>88740</v>
      </c>
      <c r="O9" s="50">
        <v>114180</v>
      </c>
      <c r="P9" s="138">
        <v>148440</v>
      </c>
      <c r="Q9" s="107"/>
      <c r="R9" s="10"/>
    </row>
    <row r="10" spans="1:18" x14ac:dyDescent="0.25">
      <c r="A10" s="45" t="s">
        <v>45</v>
      </c>
      <c r="B10" s="46">
        <v>218820</v>
      </c>
      <c r="C10" s="47">
        <v>188720</v>
      </c>
      <c r="D10" s="47">
        <v>223100</v>
      </c>
      <c r="E10" s="47">
        <v>234900</v>
      </c>
      <c r="F10" s="47">
        <v>254260</v>
      </c>
      <c r="G10" s="47">
        <v>249380</v>
      </c>
      <c r="H10" s="52">
        <v>218720</v>
      </c>
      <c r="I10" s="52">
        <v>235792</v>
      </c>
      <c r="J10" s="52">
        <v>215480</v>
      </c>
      <c r="K10" s="52">
        <v>207380</v>
      </c>
      <c r="L10" s="52">
        <v>214640</v>
      </c>
      <c r="M10" s="47">
        <v>107280</v>
      </c>
      <c r="N10" s="49">
        <v>118240</v>
      </c>
      <c r="O10" s="50">
        <v>148140</v>
      </c>
      <c r="P10" s="138">
        <v>132100</v>
      </c>
      <c r="Q10" s="107"/>
    </row>
    <row r="11" spans="1:18" x14ac:dyDescent="0.25">
      <c r="A11" s="45" t="s">
        <v>46</v>
      </c>
      <c r="B11" s="46">
        <v>187884</v>
      </c>
      <c r="C11" s="47">
        <v>224860</v>
      </c>
      <c r="D11" s="47">
        <v>234760</v>
      </c>
      <c r="E11" s="47">
        <v>214860</v>
      </c>
      <c r="F11" s="47">
        <v>223640</v>
      </c>
      <c r="G11" s="47">
        <v>232240</v>
      </c>
      <c r="H11" s="52">
        <v>212640</v>
      </c>
      <c r="I11" s="52">
        <v>207850</v>
      </c>
      <c r="J11" s="52">
        <v>227100</v>
      </c>
      <c r="K11" s="52">
        <v>125050</v>
      </c>
      <c r="L11" s="52">
        <v>170000</v>
      </c>
      <c r="M11" s="47">
        <v>109720</v>
      </c>
      <c r="N11" s="49">
        <v>120940</v>
      </c>
      <c r="O11" s="50">
        <v>109500</v>
      </c>
      <c r="P11" s="138">
        <v>163800</v>
      </c>
      <c r="Q11" s="107"/>
    </row>
    <row r="12" spans="1:18" x14ac:dyDescent="0.25">
      <c r="A12" s="45" t="s">
        <v>47</v>
      </c>
      <c r="B12" s="46">
        <v>240620</v>
      </c>
      <c r="C12" s="47">
        <v>191540</v>
      </c>
      <c r="D12" s="47">
        <v>204360</v>
      </c>
      <c r="E12" s="47">
        <v>183860</v>
      </c>
      <c r="F12" s="47">
        <v>199640</v>
      </c>
      <c r="G12" s="47">
        <v>234320</v>
      </c>
      <c r="H12" s="52">
        <v>236960</v>
      </c>
      <c r="I12" s="52">
        <v>210940</v>
      </c>
      <c r="J12" s="52">
        <v>207440</v>
      </c>
      <c r="K12" s="52">
        <v>173080</v>
      </c>
      <c r="L12" s="52">
        <v>217740</v>
      </c>
      <c r="M12" s="47">
        <v>135780</v>
      </c>
      <c r="N12" s="49">
        <v>125820</v>
      </c>
      <c r="O12" s="50">
        <f>N12</f>
        <v>125820</v>
      </c>
      <c r="P12" s="138">
        <v>86660</v>
      </c>
      <c r="Q12" s="107"/>
    </row>
    <row r="13" spans="1:18" x14ac:dyDescent="0.25">
      <c r="A13" s="45" t="s">
        <v>48</v>
      </c>
      <c r="B13" s="46">
        <v>199120</v>
      </c>
      <c r="C13" s="47">
        <v>181560</v>
      </c>
      <c r="D13" s="47">
        <v>202720</v>
      </c>
      <c r="E13" s="47">
        <v>221920</v>
      </c>
      <c r="F13" s="47">
        <v>244480</v>
      </c>
      <c r="G13" s="47">
        <v>186840</v>
      </c>
      <c r="H13" s="52">
        <v>192200</v>
      </c>
      <c r="I13" s="52">
        <v>190680</v>
      </c>
      <c r="J13" s="52">
        <v>242940</v>
      </c>
      <c r="K13" s="52">
        <v>213580</v>
      </c>
      <c r="L13" s="52">
        <f>140520+8660+2160</f>
        <v>151340</v>
      </c>
      <c r="M13" s="53">
        <v>116140</v>
      </c>
      <c r="N13" s="49">
        <v>129300</v>
      </c>
      <c r="O13" s="50">
        <f>N13</f>
        <v>129300</v>
      </c>
      <c r="P13" s="138">
        <v>133320</v>
      </c>
      <c r="Q13" s="107"/>
    </row>
    <row r="14" spans="1:18" x14ac:dyDescent="0.25">
      <c r="A14" s="45" t="s">
        <v>49</v>
      </c>
      <c r="B14" s="46">
        <v>248600</v>
      </c>
      <c r="C14" s="47">
        <v>194540</v>
      </c>
      <c r="D14" s="47">
        <v>236220</v>
      </c>
      <c r="E14" s="47">
        <v>242900</v>
      </c>
      <c r="F14" s="47">
        <v>191280</v>
      </c>
      <c r="G14" s="47">
        <v>179060</v>
      </c>
      <c r="H14" s="52">
        <v>213420</v>
      </c>
      <c r="I14" s="52">
        <v>320100</v>
      </c>
      <c r="J14" s="52">
        <v>250220</v>
      </c>
      <c r="K14" s="52">
        <v>218720</v>
      </c>
      <c r="L14" s="52">
        <v>97580</v>
      </c>
      <c r="M14" s="47">
        <v>100920</v>
      </c>
      <c r="N14" s="49">
        <v>107440</v>
      </c>
      <c r="O14" s="50">
        <f>N14</f>
        <v>107440</v>
      </c>
      <c r="P14" s="138">
        <v>127400</v>
      </c>
      <c r="Q14" s="107"/>
    </row>
    <row r="15" spans="1:18" x14ac:dyDescent="0.25">
      <c r="A15" s="45" t="s">
        <v>50</v>
      </c>
      <c r="B15" s="46">
        <v>245380</v>
      </c>
      <c r="C15" s="47">
        <v>204280</v>
      </c>
      <c r="D15" s="47">
        <v>167840</v>
      </c>
      <c r="E15" s="47">
        <v>191320</v>
      </c>
      <c r="F15" s="47">
        <v>207820</v>
      </c>
      <c r="G15" s="47">
        <v>249490</v>
      </c>
      <c r="H15" s="52">
        <v>255600</v>
      </c>
      <c r="I15" s="52">
        <v>233490</v>
      </c>
      <c r="J15" s="52">
        <v>178480</v>
      </c>
      <c r="K15" s="52">
        <v>186000</v>
      </c>
      <c r="L15" s="52">
        <v>102880</v>
      </c>
      <c r="M15" s="47">
        <v>120360</v>
      </c>
      <c r="N15" s="49">
        <v>104260</v>
      </c>
      <c r="O15" s="50">
        <f>N15</f>
        <v>104260</v>
      </c>
      <c r="P15" s="132">
        <v>105000</v>
      </c>
      <c r="Q15" s="107"/>
    </row>
    <row r="16" spans="1:18" ht="15.75" thickBot="1" x14ac:dyDescent="0.3">
      <c r="A16" s="54" t="s">
        <v>51</v>
      </c>
      <c r="B16" s="55">
        <v>210500</v>
      </c>
      <c r="C16" s="56">
        <v>174170</v>
      </c>
      <c r="D16" s="56">
        <v>222820</v>
      </c>
      <c r="E16" s="56">
        <v>179540</v>
      </c>
      <c r="F16" s="56">
        <v>244360</v>
      </c>
      <c r="G16" s="56">
        <v>252320</v>
      </c>
      <c r="H16" s="56">
        <v>193640</v>
      </c>
      <c r="I16" s="56">
        <v>251940</v>
      </c>
      <c r="J16" s="56">
        <v>260740</v>
      </c>
      <c r="K16" s="56">
        <v>225980</v>
      </c>
      <c r="L16" s="57">
        <f>89940+9060</f>
        <v>99000</v>
      </c>
      <c r="M16" s="56">
        <v>103800</v>
      </c>
      <c r="N16" s="58">
        <v>115160</v>
      </c>
      <c r="O16" s="50">
        <f>N16</f>
        <v>115160</v>
      </c>
      <c r="P16" s="132">
        <v>115000</v>
      </c>
      <c r="Q16" s="107"/>
    </row>
    <row r="17" spans="1:17" ht="15.75" thickBot="1" x14ac:dyDescent="0.3">
      <c r="A17" s="60"/>
      <c r="B17" s="61">
        <f>SUM(B5:B16)</f>
        <v>2677594</v>
      </c>
      <c r="C17" s="62">
        <f>SUM(C5:C16)</f>
        <v>2539040</v>
      </c>
      <c r="D17" s="62">
        <f t="shared" ref="D17:K17" si="0">SUM(D5:D16)</f>
        <v>2434150</v>
      </c>
      <c r="E17" s="62">
        <f t="shared" si="0"/>
        <v>2434400</v>
      </c>
      <c r="F17" s="62">
        <f t="shared" si="0"/>
        <v>2613120</v>
      </c>
      <c r="G17" s="62">
        <f t="shared" si="0"/>
        <v>2639210</v>
      </c>
      <c r="H17" s="62">
        <f t="shared" si="0"/>
        <v>2539940</v>
      </c>
      <c r="I17" s="62">
        <f t="shared" si="0"/>
        <v>2675222</v>
      </c>
      <c r="J17" s="62">
        <f t="shared" si="0"/>
        <v>2661220</v>
      </c>
      <c r="K17" s="62">
        <f t="shared" si="0"/>
        <v>2291500</v>
      </c>
      <c r="L17" s="63">
        <f>SUM(L5:L16)</f>
        <v>1957880</v>
      </c>
      <c r="M17" s="62">
        <f>SUM(M4:M16)</f>
        <v>1395811</v>
      </c>
      <c r="N17" s="64">
        <f>SUM(N5:N16)</f>
        <v>1385460</v>
      </c>
      <c r="O17" s="65">
        <f>SUM(O5:O16)</f>
        <v>1399820</v>
      </c>
      <c r="P17" s="133">
        <f>SUM(P5:P16)</f>
        <v>1500880</v>
      </c>
      <c r="Q17" s="107">
        <f>P17</f>
        <v>1500880</v>
      </c>
    </row>
    <row r="18" spans="1:17" x14ac:dyDescent="0.25">
      <c r="A18" s="113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</row>
    <row r="19" spans="1:17" hidden="1" x14ac:dyDescent="0.25">
      <c r="A19" s="114" t="s">
        <v>52</v>
      </c>
      <c r="P19" s="113"/>
      <c r="Q19" s="113"/>
    </row>
    <row r="20" spans="1:17" hidden="1" x14ac:dyDescent="0.25">
      <c r="A20" s="114" t="s">
        <v>53</v>
      </c>
      <c r="B20" s="66">
        <f t="shared" ref="B20:P20" si="1">B17/12</f>
        <v>223132.83333333334</v>
      </c>
      <c r="C20" s="66">
        <f t="shared" si="1"/>
        <v>211586.66666666666</v>
      </c>
      <c r="D20" s="66">
        <f t="shared" si="1"/>
        <v>202845.83333333334</v>
      </c>
      <c r="E20" s="66">
        <f t="shared" si="1"/>
        <v>202866.66666666666</v>
      </c>
      <c r="F20" s="66">
        <f t="shared" si="1"/>
        <v>217760</v>
      </c>
      <c r="G20" s="66">
        <f t="shared" si="1"/>
        <v>219934.16666666666</v>
      </c>
      <c r="H20" s="66">
        <f t="shared" si="1"/>
        <v>211661.66666666666</v>
      </c>
      <c r="I20" s="66">
        <f t="shared" si="1"/>
        <v>222935.16666666666</v>
      </c>
      <c r="J20" s="66">
        <f t="shared" si="1"/>
        <v>221768.33333333334</v>
      </c>
      <c r="K20" s="66">
        <f t="shared" si="1"/>
        <v>190958.33333333334</v>
      </c>
      <c r="L20" s="66">
        <f t="shared" si="1"/>
        <v>163156.66666666666</v>
      </c>
      <c r="M20" s="66">
        <f t="shared" si="1"/>
        <v>116317.58333333333</v>
      </c>
      <c r="N20" s="66">
        <f t="shared" si="1"/>
        <v>115455</v>
      </c>
      <c r="O20" s="66">
        <f t="shared" si="1"/>
        <v>116651.66666666667</v>
      </c>
      <c r="P20" s="66">
        <f t="shared" si="1"/>
        <v>125073.33333333333</v>
      </c>
      <c r="Q20" s="66"/>
    </row>
    <row r="21" spans="1:17" hidden="1" x14ac:dyDescent="0.25"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hidden="1" x14ac:dyDescent="0.25">
      <c r="B22" s="66" t="s">
        <v>54</v>
      </c>
      <c r="D22" s="66"/>
      <c r="E22" s="66"/>
      <c r="F22" s="66"/>
      <c r="G22" s="66"/>
      <c r="H22" s="66" t="s">
        <v>55</v>
      </c>
      <c r="J22" s="66"/>
      <c r="K22" s="66"/>
      <c r="L22" s="66"/>
      <c r="M22" s="66"/>
      <c r="N22" s="66"/>
      <c r="O22" s="66"/>
      <c r="P22" s="66"/>
      <c r="Q22" s="66"/>
    </row>
    <row r="23" spans="1:17" hidden="1" x14ac:dyDescent="0.25">
      <c r="B23" s="66" t="s">
        <v>56</v>
      </c>
      <c r="D23" s="66"/>
      <c r="E23" s="66"/>
      <c r="F23" s="66"/>
      <c r="G23" s="66"/>
      <c r="H23" s="67"/>
      <c r="I23" s="66"/>
      <c r="J23" s="66"/>
      <c r="K23" s="66"/>
      <c r="L23" s="66"/>
      <c r="M23" s="66"/>
      <c r="N23" s="66"/>
      <c r="O23" s="66"/>
      <c r="P23" s="66"/>
      <c r="Q23" s="66"/>
    </row>
    <row r="24" spans="1:17" hidden="1" x14ac:dyDescent="0.25"/>
    <row r="25" spans="1:17" hidden="1" x14ac:dyDescent="0.25">
      <c r="A25" s="68" t="s">
        <v>57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70"/>
      <c r="P25" s="7"/>
      <c r="Q25" s="7"/>
    </row>
    <row r="26" spans="1:17" ht="15.75" hidden="1" thickBot="1" x14ac:dyDescent="0.3">
      <c r="A26" s="71" t="s">
        <v>58</v>
      </c>
      <c r="B26" s="72">
        <f t="shared" ref="B26:O26" si="2">B17/B37</f>
        <v>447.23467512944711</v>
      </c>
      <c r="C26" s="72">
        <f t="shared" si="2"/>
        <v>418.15546772068512</v>
      </c>
      <c r="D26" s="72">
        <f t="shared" si="2"/>
        <v>397.41224489795917</v>
      </c>
      <c r="E26" s="72">
        <f t="shared" si="2"/>
        <v>396.41752157629048</v>
      </c>
      <c r="F26" s="72">
        <f t="shared" si="2"/>
        <v>420.3861003861004</v>
      </c>
      <c r="G26" s="72">
        <f t="shared" si="2"/>
        <v>413.34534064213</v>
      </c>
      <c r="H26" s="72">
        <f t="shared" si="2"/>
        <v>386.537817683762</v>
      </c>
      <c r="I26" s="72">
        <f t="shared" si="2"/>
        <v>380.6519635742743</v>
      </c>
      <c r="J26" s="72">
        <f t="shared" si="2"/>
        <v>366.00467611057627</v>
      </c>
      <c r="K26" s="72">
        <f t="shared" si="2"/>
        <v>319.10597409831502</v>
      </c>
      <c r="L26" s="72">
        <f t="shared" si="2"/>
        <v>278.34518055160646</v>
      </c>
      <c r="M26" s="72">
        <f t="shared" si="2"/>
        <v>211.93607652596415</v>
      </c>
      <c r="N26" s="72">
        <f t="shared" si="2"/>
        <v>208.81085154483799</v>
      </c>
      <c r="O26" s="72">
        <f t="shared" si="2"/>
        <v>210.75278530563082</v>
      </c>
      <c r="P26" s="73"/>
      <c r="Q26" s="73"/>
    </row>
    <row r="27" spans="1:17" hidden="1" x14ac:dyDescent="0.25"/>
    <row r="28" spans="1:17" hidden="1" x14ac:dyDescent="0.25">
      <c r="A28" s="8" t="s">
        <v>59</v>
      </c>
    </row>
    <row r="29" spans="1:17" hidden="1" x14ac:dyDescent="0.25"/>
    <row r="30" spans="1:17" hidden="1" x14ac:dyDescent="0.25">
      <c r="A30" s="74"/>
      <c r="B30" s="75">
        <v>36861</v>
      </c>
      <c r="C30" s="75">
        <v>37226</v>
      </c>
      <c r="D30" s="75">
        <v>37591</v>
      </c>
      <c r="E30" s="75">
        <v>37956</v>
      </c>
      <c r="F30" s="75">
        <v>38322</v>
      </c>
      <c r="G30" s="75">
        <v>38687</v>
      </c>
      <c r="H30" s="75">
        <v>39052</v>
      </c>
      <c r="I30" s="75">
        <v>39417</v>
      </c>
      <c r="J30" s="75">
        <v>39783</v>
      </c>
      <c r="K30" s="75">
        <v>40148</v>
      </c>
      <c r="L30" s="76">
        <v>40513</v>
      </c>
      <c r="M30" s="75">
        <v>40878</v>
      </c>
      <c r="N30" s="76">
        <v>41244</v>
      </c>
      <c r="O30" s="77">
        <v>41609</v>
      </c>
      <c r="P30" s="78"/>
      <c r="Q30" s="78"/>
    </row>
    <row r="31" spans="1:17" hidden="1" x14ac:dyDescent="0.25">
      <c r="A31" s="79" t="s">
        <v>60</v>
      </c>
      <c r="B31" s="39">
        <v>5433</v>
      </c>
      <c r="C31" s="39">
        <v>5517</v>
      </c>
      <c r="D31" s="39">
        <v>5578</v>
      </c>
      <c r="E31" s="39">
        <v>5582</v>
      </c>
      <c r="F31" s="39">
        <v>5655</v>
      </c>
      <c r="G31" s="39">
        <v>5782</v>
      </c>
      <c r="H31" s="39">
        <v>5955</v>
      </c>
      <c r="I31" s="39">
        <v>6345</v>
      </c>
      <c r="J31" s="39">
        <v>6630</v>
      </c>
      <c r="K31" s="39">
        <v>6555</v>
      </c>
      <c r="L31" s="41">
        <v>6604</v>
      </c>
      <c r="M31" s="39">
        <v>6586</v>
      </c>
      <c r="N31" s="41">
        <v>6635</v>
      </c>
      <c r="O31" s="43">
        <v>6642</v>
      </c>
      <c r="P31" s="107"/>
      <c r="Q31" s="107"/>
    </row>
    <row r="32" spans="1:17" hidden="1" x14ac:dyDescent="0.25">
      <c r="A32" s="80" t="s">
        <v>61</v>
      </c>
      <c r="B32" s="47">
        <v>142</v>
      </c>
      <c r="C32" s="47">
        <v>146</v>
      </c>
      <c r="D32" s="47">
        <v>144</v>
      </c>
      <c r="E32" s="47">
        <v>152</v>
      </c>
      <c r="F32" s="47">
        <v>167</v>
      </c>
      <c r="G32" s="47">
        <v>214</v>
      </c>
      <c r="H32" s="47"/>
      <c r="I32" s="47"/>
      <c r="J32" s="47"/>
      <c r="K32" s="47"/>
      <c r="L32" s="48"/>
      <c r="M32" s="47"/>
      <c r="N32" s="48"/>
      <c r="O32" s="50"/>
      <c r="P32" s="107"/>
      <c r="Q32" s="107"/>
    </row>
    <row r="33" spans="1:17" hidden="1" x14ac:dyDescent="0.25">
      <c r="A33" s="80" t="s">
        <v>62</v>
      </c>
      <c r="B33" s="47">
        <v>127</v>
      </c>
      <c r="C33" s="47">
        <v>125</v>
      </c>
      <c r="D33" s="47">
        <v>114</v>
      </c>
      <c r="E33" s="47">
        <v>121</v>
      </c>
      <c r="F33" s="47">
        <v>117</v>
      </c>
      <c r="G33" s="47">
        <v>113</v>
      </c>
      <c r="H33" s="47"/>
      <c r="I33" s="47"/>
      <c r="J33" s="47"/>
      <c r="K33" s="47"/>
      <c r="L33" s="48"/>
      <c r="M33" s="47"/>
      <c r="N33" s="48"/>
      <c r="O33" s="50"/>
      <c r="P33" s="107"/>
      <c r="Q33" s="107"/>
    </row>
    <row r="34" spans="1:17" hidden="1" x14ac:dyDescent="0.25">
      <c r="A34" s="80" t="s">
        <v>63</v>
      </c>
      <c r="B34" s="47">
        <v>161</v>
      </c>
      <c r="C34" s="47">
        <v>157</v>
      </c>
      <c r="D34" s="47">
        <v>169</v>
      </c>
      <c r="E34" s="47">
        <v>154</v>
      </c>
      <c r="F34" s="47">
        <v>147</v>
      </c>
      <c r="G34" s="47">
        <v>147</v>
      </c>
      <c r="H34" s="47"/>
      <c r="I34" s="47"/>
      <c r="J34" s="47"/>
      <c r="K34" s="47"/>
      <c r="L34" s="48"/>
      <c r="M34" s="47"/>
      <c r="N34" s="48"/>
      <c r="O34" s="50"/>
      <c r="P34" s="107"/>
      <c r="Q34" s="107"/>
    </row>
    <row r="35" spans="1:17" hidden="1" x14ac:dyDescent="0.25">
      <c r="A35" s="80" t="s">
        <v>64</v>
      </c>
      <c r="B35" s="47">
        <v>124</v>
      </c>
      <c r="C35" s="47">
        <v>127</v>
      </c>
      <c r="D35" s="47">
        <v>120</v>
      </c>
      <c r="E35" s="47">
        <v>132</v>
      </c>
      <c r="F35" s="47">
        <v>130</v>
      </c>
      <c r="G35" s="47">
        <v>129</v>
      </c>
      <c r="H35" s="47"/>
      <c r="I35" s="47"/>
      <c r="J35" s="47"/>
      <c r="K35" s="47"/>
      <c r="L35" s="48"/>
      <c r="M35" s="47"/>
      <c r="N35" s="48"/>
      <c r="O35" s="50"/>
      <c r="P35" s="107"/>
      <c r="Q35" s="107"/>
    </row>
    <row r="36" spans="1:17" hidden="1" x14ac:dyDescent="0.25">
      <c r="A36" s="81" t="s">
        <v>65</v>
      </c>
      <c r="B36" s="56"/>
      <c r="C36" s="56"/>
      <c r="D36" s="56"/>
      <c r="E36" s="56"/>
      <c r="F36" s="56"/>
      <c r="G36" s="56"/>
      <c r="H36" s="56">
        <v>616</v>
      </c>
      <c r="I36" s="56">
        <v>683</v>
      </c>
      <c r="J36" s="56">
        <v>641</v>
      </c>
      <c r="K36" s="56">
        <v>626</v>
      </c>
      <c r="L36" s="57">
        <v>430</v>
      </c>
      <c r="M36" s="56"/>
      <c r="N36" s="57"/>
      <c r="O36" s="59"/>
      <c r="P36" s="107"/>
      <c r="Q36" s="107"/>
    </row>
    <row r="37" spans="1:17" ht="15.75" hidden="1" thickBot="1" x14ac:dyDescent="0.3">
      <c r="A37" s="82" t="s">
        <v>3</v>
      </c>
      <c r="B37" s="62">
        <f>SUM(B31:B36)</f>
        <v>5987</v>
      </c>
      <c r="C37" s="62">
        <f t="shared" ref="C37:K37" si="3">SUM(C31:C36)</f>
        <v>6072</v>
      </c>
      <c r="D37" s="62">
        <f t="shared" si="3"/>
        <v>6125</v>
      </c>
      <c r="E37" s="62">
        <f t="shared" si="3"/>
        <v>6141</v>
      </c>
      <c r="F37" s="62">
        <f t="shared" si="3"/>
        <v>6216</v>
      </c>
      <c r="G37" s="62">
        <f t="shared" si="3"/>
        <v>6385</v>
      </c>
      <c r="H37" s="62">
        <f t="shared" si="3"/>
        <v>6571</v>
      </c>
      <c r="I37" s="62">
        <f t="shared" si="3"/>
        <v>7028</v>
      </c>
      <c r="J37" s="62">
        <f t="shared" si="3"/>
        <v>7271</v>
      </c>
      <c r="K37" s="62">
        <f t="shared" si="3"/>
        <v>7181</v>
      </c>
      <c r="L37" s="63">
        <f>SUM(L31:L36)</f>
        <v>7034</v>
      </c>
      <c r="M37" s="62">
        <f>SUM(M31:M36)</f>
        <v>6586</v>
      </c>
      <c r="N37" s="63">
        <f>SUM(N31:N36)</f>
        <v>6635</v>
      </c>
      <c r="O37" s="65">
        <f>SUM(O31:O36)</f>
        <v>6642</v>
      </c>
      <c r="P37" s="107"/>
      <c r="Q37" s="107"/>
    </row>
    <row r="38" spans="1:17" hidden="1" x14ac:dyDescent="0.25"/>
    <row r="39" spans="1:17" hidden="1" x14ac:dyDescent="0.25">
      <c r="A39" s="14" t="s">
        <v>66</v>
      </c>
      <c r="B39" s="14" t="s">
        <v>67</v>
      </c>
    </row>
    <row r="40" spans="1:17" hidden="1" x14ac:dyDescent="0.25"/>
    <row r="41" spans="1:17" hidden="1" x14ac:dyDescent="0.25"/>
    <row r="42" spans="1:17" hidden="1" x14ac:dyDescent="0.25"/>
    <row r="43" spans="1:17" ht="15.75" thickBot="1" x14ac:dyDescent="0.3"/>
    <row r="44" spans="1:17" ht="15.75" thickBot="1" x14ac:dyDescent="0.3">
      <c r="A44" s="136" t="s">
        <v>198</v>
      </c>
      <c r="B44" s="137"/>
    </row>
    <row r="45" spans="1:17" x14ac:dyDescent="0.25">
      <c r="A45" s="110" t="s">
        <v>195</v>
      </c>
      <c r="B45" s="111">
        <v>7.5</v>
      </c>
    </row>
    <row r="46" spans="1:17" x14ac:dyDescent="0.25">
      <c r="A46" s="110" t="s">
        <v>196</v>
      </c>
      <c r="B46" s="125">
        <f>P17</f>
        <v>1500880</v>
      </c>
    </row>
    <row r="47" spans="1:17" ht="15.75" thickBot="1" x14ac:dyDescent="0.3">
      <c r="A47" s="109"/>
      <c r="B47" s="126"/>
    </row>
    <row r="48" spans="1:17" ht="21" customHeight="1" thickBot="1" x14ac:dyDescent="0.3">
      <c r="A48" s="134" t="s">
        <v>197</v>
      </c>
      <c r="B48" s="135">
        <f>B45*B46</f>
        <v>11256600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87"/>
  <sheetViews>
    <sheetView topLeftCell="H16" workbookViewId="0">
      <selection activeCell="T33" sqref="T33"/>
    </sheetView>
  </sheetViews>
  <sheetFormatPr defaultColWidth="8.85546875" defaultRowHeight="15" x14ac:dyDescent="0.25"/>
  <cols>
    <col min="1" max="1" width="8.85546875" style="114"/>
    <col min="2" max="2" width="19.5703125" style="114" customWidth="1"/>
    <col min="3" max="10" width="8.85546875" style="114"/>
    <col min="11" max="11" width="11.28515625" style="114" customWidth="1"/>
    <col min="12" max="12" width="9" style="114" customWidth="1"/>
    <col min="13" max="13" width="12.5703125" style="114" customWidth="1"/>
    <col min="14" max="14" width="11.42578125" style="114" customWidth="1"/>
    <col min="15" max="15" width="11.42578125" style="114" bestFit="1" customWidth="1"/>
    <col min="16" max="16" width="8.85546875" style="114"/>
    <col min="17" max="17" width="18.140625" style="114" customWidth="1"/>
    <col min="18" max="18" width="17.7109375" style="114" customWidth="1"/>
    <col min="19" max="19" width="19.7109375" style="114" customWidth="1"/>
    <col min="20" max="20" width="17.7109375" style="114" customWidth="1"/>
    <col min="21" max="16384" width="8.85546875" style="114"/>
  </cols>
  <sheetData>
    <row r="1" spans="1:20" ht="21" x14ac:dyDescent="0.25">
      <c r="F1" s="250" t="s">
        <v>73</v>
      </c>
      <c r="G1" s="250"/>
      <c r="H1" s="250"/>
      <c r="I1" s="250"/>
      <c r="J1" s="250"/>
    </row>
    <row r="2" spans="1:20" ht="18.75" x14ac:dyDescent="0.25">
      <c r="F2" s="251" t="s">
        <v>74</v>
      </c>
      <c r="G2" s="251"/>
      <c r="H2" s="251"/>
      <c r="I2" s="251"/>
      <c r="J2" s="251"/>
    </row>
    <row r="3" spans="1:20" ht="15.75" thickBot="1" x14ac:dyDescent="0.3"/>
    <row r="4" spans="1:20" ht="15.75" thickBot="1" x14ac:dyDescent="0.3">
      <c r="B4" s="8"/>
      <c r="C4" s="257" t="s">
        <v>199</v>
      </c>
      <c r="D4" s="258"/>
      <c r="E4" s="258"/>
      <c r="F4" s="258"/>
      <c r="G4" s="258"/>
      <c r="H4" s="258"/>
      <c r="I4" s="258"/>
      <c r="J4" s="258"/>
      <c r="K4" s="258"/>
      <c r="L4" s="259"/>
      <c r="M4" s="258" t="s">
        <v>144</v>
      </c>
      <c r="N4" s="258"/>
      <c r="O4" s="158"/>
      <c r="P4" s="85"/>
    </row>
    <row r="5" spans="1:20" ht="15.75" thickBot="1" x14ac:dyDescent="0.3">
      <c r="B5" s="8" t="s">
        <v>76</v>
      </c>
      <c r="C5" s="5" t="s">
        <v>77</v>
      </c>
      <c r="D5" s="106" t="s">
        <v>78</v>
      </c>
      <c r="E5" s="106" t="s">
        <v>42</v>
      </c>
      <c r="F5" s="106" t="s">
        <v>43</v>
      </c>
      <c r="G5" s="106" t="s">
        <v>44</v>
      </c>
      <c r="H5" s="106" t="s">
        <v>45</v>
      </c>
      <c r="I5" s="106" t="s">
        <v>72</v>
      </c>
      <c r="J5" s="106" t="s">
        <v>79</v>
      </c>
      <c r="K5" s="106" t="s">
        <v>80</v>
      </c>
      <c r="L5" s="147" t="s">
        <v>81</v>
      </c>
      <c r="M5" s="106" t="s">
        <v>82</v>
      </c>
      <c r="N5" s="106" t="s">
        <v>83</v>
      </c>
      <c r="O5" s="159" t="s">
        <v>2</v>
      </c>
      <c r="P5" s="44"/>
      <c r="Q5" s="184" t="s">
        <v>122</v>
      </c>
      <c r="R5" s="185">
        <v>2016</v>
      </c>
      <c r="S5" s="185" t="s">
        <v>122</v>
      </c>
      <c r="T5" s="186">
        <v>2016</v>
      </c>
    </row>
    <row r="6" spans="1:20" ht="15.75" thickBot="1" x14ac:dyDescent="0.3">
      <c r="B6" s="140"/>
      <c r="C6" s="87" t="s">
        <v>84</v>
      </c>
      <c r="D6" s="115" t="s">
        <v>84</v>
      </c>
      <c r="E6" s="115" t="s">
        <v>84</v>
      </c>
      <c r="F6" s="115" t="s">
        <v>84</v>
      </c>
      <c r="G6" s="115" t="s">
        <v>84</v>
      </c>
      <c r="H6" s="115" t="s">
        <v>84</v>
      </c>
      <c r="I6" s="115" t="s">
        <v>84</v>
      </c>
      <c r="J6" s="115" t="s">
        <v>84</v>
      </c>
      <c r="K6" s="115" t="s">
        <v>84</v>
      </c>
      <c r="L6" s="148" t="s">
        <v>84</v>
      </c>
      <c r="M6" s="115" t="s">
        <v>84</v>
      </c>
      <c r="N6" s="115" t="s">
        <v>84</v>
      </c>
      <c r="O6" s="160" t="s">
        <v>85</v>
      </c>
      <c r="P6" s="44"/>
      <c r="Q6" s="175" t="s">
        <v>16</v>
      </c>
      <c r="R6" s="181" t="s">
        <v>16</v>
      </c>
      <c r="S6" s="181" t="s">
        <v>17</v>
      </c>
      <c r="T6" s="182" t="s">
        <v>200</v>
      </c>
    </row>
    <row r="7" spans="1:20" x14ac:dyDescent="0.25">
      <c r="A7" s="252" t="s">
        <v>86</v>
      </c>
      <c r="B7" s="164" t="s">
        <v>87</v>
      </c>
      <c r="C7" s="165">
        <v>10510</v>
      </c>
      <c r="D7" s="166">
        <v>6020</v>
      </c>
      <c r="E7" s="166"/>
      <c r="F7" s="166">
        <v>2320</v>
      </c>
      <c r="G7" s="166">
        <v>6530</v>
      </c>
      <c r="H7" s="166">
        <v>8100</v>
      </c>
      <c r="I7" s="166">
        <v>9730</v>
      </c>
      <c r="J7" s="167">
        <v>3420</v>
      </c>
      <c r="K7" s="167">
        <v>12950</v>
      </c>
      <c r="L7" s="168">
        <v>2900</v>
      </c>
      <c r="M7" s="169">
        <f>L7</f>
        <v>2900</v>
      </c>
      <c r="N7" s="170">
        <f>M7</f>
        <v>2900</v>
      </c>
      <c r="O7" s="171"/>
      <c r="P7" s="248" t="s">
        <v>88</v>
      </c>
      <c r="Q7" s="176"/>
      <c r="R7" s="176"/>
      <c r="S7" s="176"/>
      <c r="T7" s="177"/>
    </row>
    <row r="8" spans="1:20" x14ac:dyDescent="0.25">
      <c r="A8" s="253"/>
      <c r="B8" s="172" t="s">
        <v>89</v>
      </c>
      <c r="C8" s="151"/>
      <c r="D8" s="119"/>
      <c r="E8" s="119"/>
      <c r="F8" s="119"/>
      <c r="G8" s="119"/>
      <c r="H8" s="119"/>
      <c r="I8" s="119"/>
      <c r="J8" s="121"/>
      <c r="K8" s="121"/>
      <c r="L8" s="152"/>
      <c r="M8" s="145"/>
      <c r="N8" s="156"/>
      <c r="O8" s="162"/>
      <c r="P8" s="255"/>
      <c r="Q8" s="176"/>
      <c r="R8" s="176"/>
      <c r="S8" s="176"/>
      <c r="T8" s="177"/>
    </row>
    <row r="9" spans="1:20" x14ac:dyDescent="0.25">
      <c r="A9" s="253"/>
      <c r="B9" s="172" t="s">
        <v>90</v>
      </c>
      <c r="C9" s="151"/>
      <c r="D9" s="119"/>
      <c r="E9" s="119"/>
      <c r="F9" s="119"/>
      <c r="G9" s="119"/>
      <c r="H9" s="119"/>
      <c r="I9" s="119"/>
      <c r="J9" s="121"/>
      <c r="K9" s="121"/>
      <c r="L9" s="152"/>
      <c r="M9" s="145"/>
      <c r="N9" s="156"/>
      <c r="O9" s="162"/>
      <c r="P9" s="255"/>
      <c r="Q9" s="176"/>
      <c r="R9" s="176"/>
      <c r="S9" s="176"/>
      <c r="T9" s="177"/>
    </row>
    <row r="10" spans="1:20" x14ac:dyDescent="0.25">
      <c r="A10" s="253"/>
      <c r="B10" s="172" t="s">
        <v>91</v>
      </c>
      <c r="C10" s="151"/>
      <c r="D10" s="119"/>
      <c r="E10" s="119"/>
      <c r="F10" s="119"/>
      <c r="G10" s="119"/>
      <c r="H10" s="119"/>
      <c r="I10" s="119"/>
      <c r="J10" s="121"/>
      <c r="K10" s="121"/>
      <c r="L10" s="152"/>
      <c r="M10" s="145"/>
      <c r="N10" s="156"/>
      <c r="O10" s="162"/>
      <c r="P10" s="255"/>
      <c r="Q10" s="176"/>
      <c r="R10" s="176"/>
      <c r="S10" s="176"/>
      <c r="T10" s="177"/>
    </row>
    <row r="11" spans="1:20" x14ac:dyDescent="0.25">
      <c r="A11" s="253"/>
      <c r="B11" s="172" t="s">
        <v>92</v>
      </c>
      <c r="C11" s="151"/>
      <c r="D11" s="119"/>
      <c r="E11" s="119"/>
      <c r="F11" s="119"/>
      <c r="G11" s="119"/>
      <c r="H11" s="119"/>
      <c r="I11" s="119"/>
      <c r="J11" s="121"/>
      <c r="K11" s="121"/>
      <c r="L11" s="152"/>
      <c r="M11" s="145"/>
      <c r="N11" s="156"/>
      <c r="O11" s="162"/>
      <c r="P11" s="255"/>
      <c r="Q11" s="176"/>
      <c r="R11" s="176"/>
      <c r="S11" s="176"/>
      <c r="T11" s="177"/>
    </row>
    <row r="12" spans="1:20" x14ac:dyDescent="0.25">
      <c r="A12" s="253"/>
      <c r="B12" s="172" t="s">
        <v>93</v>
      </c>
      <c r="C12" s="151"/>
      <c r="D12" s="119"/>
      <c r="E12" s="119"/>
      <c r="F12" s="119"/>
      <c r="G12" s="119"/>
      <c r="H12" s="119"/>
      <c r="I12" s="119"/>
      <c r="J12" s="121"/>
      <c r="K12" s="121"/>
      <c r="L12" s="152"/>
      <c r="M12" s="145"/>
      <c r="N12" s="156"/>
      <c r="O12" s="162"/>
      <c r="P12" s="255"/>
      <c r="Q12" s="176"/>
      <c r="R12" s="176"/>
      <c r="S12" s="176"/>
      <c r="T12" s="177"/>
    </row>
    <row r="13" spans="1:20" x14ac:dyDescent="0.25">
      <c r="A13" s="253"/>
      <c r="B13" s="172" t="s">
        <v>94</v>
      </c>
      <c r="C13" s="151"/>
      <c r="D13" s="119"/>
      <c r="E13" s="119"/>
      <c r="F13" s="119"/>
      <c r="G13" s="119"/>
      <c r="H13" s="119"/>
      <c r="I13" s="119"/>
      <c r="J13" s="121"/>
      <c r="K13" s="121"/>
      <c r="L13" s="152"/>
      <c r="M13" s="145"/>
      <c r="N13" s="156"/>
      <c r="O13" s="162"/>
      <c r="P13" s="255"/>
      <c r="Q13" s="176"/>
      <c r="R13" s="176"/>
      <c r="S13" s="176"/>
      <c r="T13" s="177"/>
    </row>
    <row r="14" spans="1:20" x14ac:dyDescent="0.25">
      <c r="A14" s="253"/>
      <c r="B14" s="172" t="s">
        <v>95</v>
      </c>
      <c r="C14" s="151">
        <v>19180</v>
      </c>
      <c r="D14" s="119">
        <v>15060</v>
      </c>
      <c r="E14" s="119">
        <v>18090</v>
      </c>
      <c r="F14" s="119">
        <v>23490</v>
      </c>
      <c r="G14" s="119">
        <v>25890</v>
      </c>
      <c r="H14" s="119">
        <v>61840</v>
      </c>
      <c r="I14" s="121">
        <v>47530</v>
      </c>
      <c r="J14" s="121">
        <v>21570</v>
      </c>
      <c r="K14" s="121">
        <v>42680</v>
      </c>
      <c r="L14" s="152">
        <v>42820</v>
      </c>
      <c r="M14" s="145">
        <f>L14</f>
        <v>42820</v>
      </c>
      <c r="N14" s="156">
        <f>M14</f>
        <v>42820</v>
      </c>
      <c r="O14" s="162">
        <f>SUM(C14:N14)</f>
        <v>403790</v>
      </c>
      <c r="P14" s="255"/>
      <c r="Q14" s="176">
        <v>1</v>
      </c>
      <c r="R14" s="176">
        <f>Q14*Forsendur!$B$18/Forsendur!$B$15</f>
        <v>1.1880646044347112</v>
      </c>
      <c r="S14" s="178">
        <f>O14*Q14</f>
        <v>403790</v>
      </c>
      <c r="T14" s="179">
        <f>R14*O14</f>
        <v>479728.60662469204</v>
      </c>
    </row>
    <row r="15" spans="1:20" x14ac:dyDescent="0.25">
      <c r="A15" s="253"/>
      <c r="B15" s="172" t="s">
        <v>96</v>
      </c>
      <c r="C15" s="151">
        <v>29790</v>
      </c>
      <c r="D15" s="119">
        <v>18390</v>
      </c>
      <c r="E15" s="119">
        <v>51590</v>
      </c>
      <c r="F15" s="119">
        <v>59440</v>
      </c>
      <c r="G15" s="119">
        <v>77190</v>
      </c>
      <c r="H15" s="119">
        <v>87650</v>
      </c>
      <c r="I15" s="121">
        <v>87850</v>
      </c>
      <c r="J15" s="121">
        <v>55750</v>
      </c>
      <c r="K15" s="121">
        <v>76020</v>
      </c>
      <c r="L15" s="152">
        <v>84290</v>
      </c>
      <c r="M15" s="145">
        <f>L15</f>
        <v>84290</v>
      </c>
      <c r="N15" s="156">
        <f>M15</f>
        <v>84290</v>
      </c>
      <c r="O15" s="162">
        <f>SUM(C15:N15)</f>
        <v>796540</v>
      </c>
      <c r="P15" s="255"/>
      <c r="Q15" s="176">
        <v>3.9</v>
      </c>
      <c r="R15" s="176">
        <f>Q15*Forsendur!$B$18/Forsendur!$B$15</f>
        <v>4.6334519572953736</v>
      </c>
      <c r="S15" s="178">
        <f>($O$15+$O$16)*Q15</f>
        <v>3106506</v>
      </c>
      <c r="T15" s="180">
        <f>($O$15+$O$16)*R15</f>
        <v>3690729.822064057</v>
      </c>
    </row>
    <row r="16" spans="1:20" x14ac:dyDescent="0.25">
      <c r="A16" s="253"/>
      <c r="B16" s="172" t="s">
        <v>97</v>
      </c>
      <c r="C16" s="151"/>
      <c r="D16" s="119"/>
      <c r="E16" s="119"/>
      <c r="F16" s="119"/>
      <c r="G16" s="119"/>
      <c r="H16" s="119"/>
      <c r="I16" s="121"/>
      <c r="J16" s="121"/>
      <c r="K16" s="121"/>
      <c r="L16" s="152"/>
      <c r="M16" s="145"/>
      <c r="N16" s="156"/>
      <c r="O16" s="162">
        <f t="shared" ref="O16:O27" si="0">SUM(C16:N16)</f>
        <v>0</v>
      </c>
      <c r="P16" s="255"/>
      <c r="Q16" s="176">
        <v>4.4800000000000004</v>
      </c>
      <c r="R16" s="176">
        <f>Q16*Forsendur!$B$18/Forsendur!$B$15</f>
        <v>5.3225294278675062</v>
      </c>
      <c r="S16" s="178">
        <f>O16*Q16</f>
        <v>0</v>
      </c>
      <c r="T16" s="179">
        <f>R16*O16</f>
        <v>0</v>
      </c>
    </row>
    <row r="17" spans="1:20" x14ac:dyDescent="0.25">
      <c r="A17" s="253"/>
      <c r="B17" s="172" t="s">
        <v>98</v>
      </c>
      <c r="C17" s="151"/>
      <c r="D17" s="119"/>
      <c r="E17" s="119"/>
      <c r="F17" s="119"/>
      <c r="G17" s="119"/>
      <c r="H17" s="119"/>
      <c r="I17" s="121"/>
      <c r="J17" s="121"/>
      <c r="K17" s="121"/>
      <c r="L17" s="152"/>
      <c r="M17" s="145"/>
      <c r="N17" s="156"/>
      <c r="O17" s="162">
        <f t="shared" si="0"/>
        <v>0</v>
      </c>
      <c r="P17" s="255"/>
      <c r="Q17" s="176"/>
      <c r="R17" s="176"/>
      <c r="S17" s="178"/>
      <c r="T17" s="179"/>
    </row>
    <row r="18" spans="1:20" x14ac:dyDescent="0.25">
      <c r="A18" s="253"/>
      <c r="B18" s="172" t="s">
        <v>99</v>
      </c>
      <c r="C18" s="151">
        <v>8600</v>
      </c>
      <c r="D18" s="119">
        <v>4830</v>
      </c>
      <c r="E18" s="119">
        <v>7530</v>
      </c>
      <c r="F18" s="119">
        <v>4610</v>
      </c>
      <c r="G18" s="119">
        <v>6410</v>
      </c>
      <c r="H18" s="119">
        <v>12560</v>
      </c>
      <c r="I18" s="121">
        <v>14500</v>
      </c>
      <c r="J18" s="121">
        <v>8000</v>
      </c>
      <c r="K18" s="121">
        <v>8330</v>
      </c>
      <c r="L18" s="152">
        <v>6720</v>
      </c>
      <c r="M18" s="145">
        <f>L18</f>
        <v>6720</v>
      </c>
      <c r="N18" s="156">
        <f>M18</f>
        <v>6720</v>
      </c>
      <c r="O18" s="162">
        <f t="shared" si="0"/>
        <v>95530</v>
      </c>
      <c r="P18" s="255"/>
      <c r="Q18" s="176"/>
      <c r="R18" s="176"/>
      <c r="S18" s="178"/>
      <c r="T18" s="179"/>
    </row>
    <row r="19" spans="1:20" x14ac:dyDescent="0.25">
      <c r="A19" s="253"/>
      <c r="B19" s="172" t="s">
        <v>100</v>
      </c>
      <c r="C19" s="151"/>
      <c r="D19" s="119"/>
      <c r="E19" s="119"/>
      <c r="F19" s="119"/>
      <c r="G19" s="119">
        <v>3820</v>
      </c>
      <c r="H19" s="119"/>
      <c r="I19" s="121">
        <v>420</v>
      </c>
      <c r="J19" s="121"/>
      <c r="K19" s="121"/>
      <c r="L19" s="152"/>
      <c r="M19" s="145"/>
      <c r="N19" s="156"/>
      <c r="O19" s="162">
        <f t="shared" si="0"/>
        <v>4240</v>
      </c>
      <c r="P19" s="255"/>
      <c r="Q19" s="176"/>
      <c r="R19" s="176"/>
      <c r="S19" s="178"/>
      <c r="T19" s="179"/>
    </row>
    <row r="20" spans="1:20" x14ac:dyDescent="0.25">
      <c r="A20" s="253"/>
      <c r="B20" s="172" t="s">
        <v>101</v>
      </c>
      <c r="C20" s="151"/>
      <c r="D20" s="119"/>
      <c r="E20" s="119"/>
      <c r="F20" s="119"/>
      <c r="G20" s="119"/>
      <c r="H20" s="119"/>
      <c r="I20" s="121"/>
      <c r="J20" s="121"/>
      <c r="K20" s="121"/>
      <c r="L20" s="152"/>
      <c r="M20" s="145"/>
      <c r="N20" s="156"/>
      <c r="O20" s="162">
        <f t="shared" si="0"/>
        <v>0</v>
      </c>
      <c r="P20" s="255"/>
      <c r="Q20" s="176"/>
      <c r="R20" s="176"/>
      <c r="S20" s="178"/>
      <c r="T20" s="179"/>
    </row>
    <row r="21" spans="1:20" x14ac:dyDescent="0.25">
      <c r="A21" s="253"/>
      <c r="B21" s="172" t="s">
        <v>102</v>
      </c>
      <c r="C21" s="151">
        <v>230</v>
      </c>
      <c r="D21" s="119">
        <v>480</v>
      </c>
      <c r="E21" s="119">
        <v>3645</v>
      </c>
      <c r="F21" s="119">
        <v>10</v>
      </c>
      <c r="G21" s="119">
        <v>320</v>
      </c>
      <c r="H21" s="119">
        <v>660</v>
      </c>
      <c r="I21" s="121">
        <v>1110</v>
      </c>
      <c r="J21" s="121">
        <v>270</v>
      </c>
      <c r="K21" s="121">
        <v>1350</v>
      </c>
      <c r="L21" s="152">
        <v>540</v>
      </c>
      <c r="M21" s="145"/>
      <c r="N21" s="156"/>
      <c r="O21" s="162">
        <f t="shared" si="0"/>
        <v>8615</v>
      </c>
      <c r="P21" s="255"/>
      <c r="Q21" s="176"/>
      <c r="R21" s="176"/>
      <c r="S21" s="178"/>
      <c r="T21" s="179"/>
    </row>
    <row r="22" spans="1:20" x14ac:dyDescent="0.25">
      <c r="A22" s="253"/>
      <c r="B22" s="172" t="s">
        <v>103</v>
      </c>
      <c r="C22" s="151">
        <v>2700</v>
      </c>
      <c r="D22" s="119">
        <v>200</v>
      </c>
      <c r="E22" s="119">
        <v>120</v>
      </c>
      <c r="F22" s="119">
        <v>420</v>
      </c>
      <c r="G22" s="119">
        <v>2340</v>
      </c>
      <c r="H22" s="119">
        <v>2629</v>
      </c>
      <c r="I22" s="121">
        <v>580</v>
      </c>
      <c r="J22" s="121">
        <v>3960</v>
      </c>
      <c r="K22" s="121">
        <v>880</v>
      </c>
      <c r="L22" s="152">
        <v>760</v>
      </c>
      <c r="M22" s="145"/>
      <c r="N22" s="156"/>
      <c r="O22" s="162">
        <f t="shared" si="0"/>
        <v>14589</v>
      </c>
      <c r="P22" s="255"/>
      <c r="Q22" s="176"/>
      <c r="R22" s="176"/>
      <c r="S22" s="178"/>
      <c r="T22" s="179"/>
    </row>
    <row r="23" spans="1:20" ht="15.75" thickBot="1" x14ac:dyDescent="0.3">
      <c r="A23" s="253"/>
      <c r="B23" s="173" t="s">
        <v>104</v>
      </c>
      <c r="C23" s="153"/>
      <c r="D23" s="120"/>
      <c r="E23" s="120"/>
      <c r="F23" s="120"/>
      <c r="G23" s="120"/>
      <c r="H23" s="120"/>
      <c r="I23" s="122"/>
      <c r="J23" s="122"/>
      <c r="K23" s="122"/>
      <c r="L23" s="154"/>
      <c r="M23" s="146"/>
      <c r="N23" s="157"/>
      <c r="O23" s="163">
        <f t="shared" si="0"/>
        <v>0</v>
      </c>
      <c r="P23" s="249"/>
      <c r="Q23" s="176"/>
      <c r="R23" s="176"/>
      <c r="S23" s="178"/>
      <c r="T23" s="179"/>
    </row>
    <row r="24" spans="1:20" x14ac:dyDescent="0.25">
      <c r="A24" s="253"/>
      <c r="B24" s="141" t="s">
        <v>105</v>
      </c>
      <c r="C24" s="149">
        <v>0</v>
      </c>
      <c r="D24" s="118">
        <v>0</v>
      </c>
      <c r="E24" s="118">
        <v>7660</v>
      </c>
      <c r="F24" s="118">
        <v>86580</v>
      </c>
      <c r="G24" s="118">
        <v>144560</v>
      </c>
      <c r="H24" s="118">
        <v>136940</v>
      </c>
      <c r="I24" s="123">
        <v>147060</v>
      </c>
      <c r="J24" s="123">
        <v>105350</v>
      </c>
      <c r="K24" s="123">
        <v>8580</v>
      </c>
      <c r="L24" s="150">
        <v>0</v>
      </c>
      <c r="M24" s="144">
        <f>L24</f>
        <v>0</v>
      </c>
      <c r="N24" s="155">
        <f>M24</f>
        <v>0</v>
      </c>
      <c r="O24" s="161">
        <f t="shared" si="0"/>
        <v>636730</v>
      </c>
      <c r="P24" s="255" t="s">
        <v>106</v>
      </c>
      <c r="Q24" s="183">
        <v>1.2</v>
      </c>
      <c r="R24" s="176">
        <f>Q24*Forsendur!$B$18/Forsendur!$B$15</f>
        <v>1.4256775253216534</v>
      </c>
      <c r="S24" s="178">
        <f>O24*Q24</f>
        <v>764076</v>
      </c>
      <c r="T24" s="179">
        <f>R24*O24</f>
        <v>907771.65069805633</v>
      </c>
    </row>
    <row r="25" spans="1:20" x14ac:dyDescent="0.25">
      <c r="A25" s="253"/>
      <c r="B25" s="142" t="s">
        <v>107</v>
      </c>
      <c r="C25" s="151"/>
      <c r="D25" s="119"/>
      <c r="E25" s="119"/>
      <c r="F25" s="119"/>
      <c r="G25" s="119"/>
      <c r="H25" s="119"/>
      <c r="I25" s="121"/>
      <c r="J25" s="121"/>
      <c r="K25" s="121"/>
      <c r="L25" s="152"/>
      <c r="M25" s="145"/>
      <c r="N25" s="156"/>
      <c r="O25" s="162">
        <f t="shared" si="0"/>
        <v>0</v>
      </c>
      <c r="P25" s="255"/>
      <c r="Q25" s="176">
        <f>Q24</f>
        <v>1.2</v>
      </c>
      <c r="R25" s="176">
        <f>R24</f>
        <v>1.4256775253216534</v>
      </c>
      <c r="S25" s="178">
        <f>O25*Q25</f>
        <v>0</v>
      </c>
      <c r="T25" s="179">
        <f>R25*O25</f>
        <v>0</v>
      </c>
    </row>
    <row r="26" spans="1:20" x14ac:dyDescent="0.25">
      <c r="A26" s="253"/>
      <c r="B26" s="142" t="s">
        <v>108</v>
      </c>
      <c r="C26" s="151">
        <v>11510</v>
      </c>
      <c r="D26" s="119">
        <v>15000</v>
      </c>
      <c r="E26" s="119">
        <v>10780</v>
      </c>
      <c r="F26" s="119">
        <v>13660</v>
      </c>
      <c r="G26" s="119">
        <v>22080</v>
      </c>
      <c r="H26" s="119">
        <v>29380</v>
      </c>
      <c r="I26" s="121">
        <v>24500</v>
      </c>
      <c r="J26" s="121">
        <v>11270</v>
      </c>
      <c r="K26" s="121">
        <v>34400</v>
      </c>
      <c r="L26" s="152">
        <v>40980</v>
      </c>
      <c r="M26" s="145">
        <f>L26</f>
        <v>40980</v>
      </c>
      <c r="N26" s="156">
        <f>M26</f>
        <v>40980</v>
      </c>
      <c r="O26" s="162">
        <f t="shared" si="0"/>
        <v>295520</v>
      </c>
      <c r="P26" s="255"/>
      <c r="Q26" s="176">
        <v>1</v>
      </c>
      <c r="R26" s="176">
        <f>Q26*Forsendur!$B$18/Forsendur!$B$15</f>
        <v>1.1880646044347112</v>
      </c>
      <c r="S26" s="178">
        <f>O26*Q26</f>
        <v>295520</v>
      </c>
      <c r="T26" s="179">
        <f>R26*O26</f>
        <v>351096.85190254584</v>
      </c>
    </row>
    <row r="27" spans="1:20" ht="15.75" thickBot="1" x14ac:dyDescent="0.3">
      <c r="A27" s="254"/>
      <c r="B27" s="143" t="s">
        <v>109</v>
      </c>
      <c r="C27" s="153">
        <v>4960</v>
      </c>
      <c r="D27" s="120">
        <v>6950</v>
      </c>
      <c r="E27" s="120">
        <v>12340</v>
      </c>
      <c r="F27" s="120">
        <v>1600</v>
      </c>
      <c r="G27" s="120">
        <v>4400</v>
      </c>
      <c r="H27" s="120">
        <v>6700</v>
      </c>
      <c r="I27" s="122">
        <v>2540</v>
      </c>
      <c r="J27" s="122">
        <v>9320</v>
      </c>
      <c r="K27" s="122">
        <v>1880</v>
      </c>
      <c r="L27" s="154">
        <v>2840</v>
      </c>
      <c r="M27" s="146"/>
      <c r="N27" s="157"/>
      <c r="O27" s="162">
        <f t="shared" si="0"/>
        <v>53530</v>
      </c>
      <c r="P27" s="249"/>
      <c r="Q27" s="176">
        <f>Q28</f>
        <v>4.4800000000000004</v>
      </c>
      <c r="R27" s="176">
        <f>R28</f>
        <v>5.3225294278675062</v>
      </c>
      <c r="S27" s="178">
        <f>O27*Q27</f>
        <v>239814.40000000002</v>
      </c>
      <c r="T27" s="179">
        <f>R27*O27</f>
        <v>284915.0002737476</v>
      </c>
    </row>
    <row r="28" spans="1:20" x14ac:dyDescent="0.25">
      <c r="A28" s="246" t="s">
        <v>110</v>
      </c>
      <c r="B28" s="141" t="s">
        <v>111</v>
      </c>
      <c r="C28" s="149">
        <v>146580</v>
      </c>
      <c r="D28" s="118">
        <v>117640</v>
      </c>
      <c r="E28" s="118">
        <v>117660</v>
      </c>
      <c r="F28" s="118">
        <v>114520</v>
      </c>
      <c r="G28" s="118">
        <v>148440</v>
      </c>
      <c r="H28" s="118">
        <v>132100</v>
      </c>
      <c r="I28" s="123">
        <v>163800</v>
      </c>
      <c r="J28" s="123">
        <v>86660</v>
      </c>
      <c r="K28" s="123">
        <v>133320</v>
      </c>
      <c r="L28" s="150">
        <v>127400</v>
      </c>
      <c r="M28" s="144">
        <v>105000</v>
      </c>
      <c r="N28" s="155">
        <v>115000</v>
      </c>
      <c r="O28" s="162">
        <f>SUM(C28:N28)</f>
        <v>1508120</v>
      </c>
      <c r="P28" s="248" t="s">
        <v>112</v>
      </c>
      <c r="Q28" s="176">
        <f>Q16</f>
        <v>4.4800000000000004</v>
      </c>
      <c r="R28" s="176">
        <f>R16</f>
        <v>5.3225294278675062</v>
      </c>
      <c r="S28" s="178">
        <f>O28*Q28</f>
        <v>6756377.6000000006</v>
      </c>
      <c r="T28" s="179">
        <f>R28*O28</f>
        <v>8027013.080755543</v>
      </c>
    </row>
    <row r="29" spans="1:20" ht="17.25" thickBot="1" x14ac:dyDescent="0.35">
      <c r="A29" s="256"/>
      <c r="B29" s="193" t="s">
        <v>113</v>
      </c>
      <c r="C29" s="194"/>
      <c r="D29" s="195"/>
      <c r="E29" s="195"/>
      <c r="F29" s="195"/>
      <c r="G29" s="195"/>
      <c r="H29" s="195"/>
      <c r="I29" s="196"/>
      <c r="J29" s="196"/>
      <c r="K29" s="196"/>
      <c r="L29" s="197"/>
      <c r="M29" s="198"/>
      <c r="N29" s="199"/>
      <c r="O29" s="200"/>
      <c r="P29" s="255"/>
      <c r="Q29" s="176"/>
      <c r="R29" s="176"/>
      <c r="S29" s="178"/>
      <c r="T29" s="179"/>
    </row>
    <row r="30" spans="1:20" x14ac:dyDescent="0.25">
      <c r="A30" s="85"/>
      <c r="B30" s="202" t="s">
        <v>123</v>
      </c>
      <c r="C30" s="203"/>
      <c r="D30" s="204"/>
      <c r="E30" s="204"/>
      <c r="F30" s="204"/>
      <c r="G30" s="204"/>
      <c r="H30" s="204"/>
      <c r="I30" s="205"/>
      <c r="J30" s="205"/>
      <c r="K30" s="205"/>
      <c r="L30" s="206"/>
      <c r="M30" s="207"/>
      <c r="N30" s="208"/>
      <c r="O30" s="209"/>
      <c r="P30" s="116"/>
      <c r="Q30" s="178">
        <f>600000</f>
        <v>600000</v>
      </c>
      <c r="R30" s="178">
        <f>Q30*Forsendur!$B$18/Forsendur!$B$15</f>
        <v>712838.76266082667</v>
      </c>
      <c r="S30" s="178">
        <f>600000</f>
        <v>600000</v>
      </c>
      <c r="T30" s="180">
        <f>S30*Forsendur!$B$18/Forsendur!$B$15</f>
        <v>712838.76266082667</v>
      </c>
    </row>
    <row r="31" spans="1:20" ht="15.75" thickBot="1" x14ac:dyDescent="0.3">
      <c r="A31" s="211"/>
      <c r="B31" s="210" t="s">
        <v>124</v>
      </c>
      <c r="C31" s="153"/>
      <c r="D31" s="120"/>
      <c r="E31" s="120"/>
      <c r="F31" s="120"/>
      <c r="G31" s="120"/>
      <c r="H31" s="120"/>
      <c r="I31" s="122"/>
      <c r="J31" s="122"/>
      <c r="K31" s="122"/>
      <c r="L31" s="154"/>
      <c r="M31" s="146"/>
      <c r="N31" s="157"/>
      <c r="O31" s="163"/>
      <c r="P31" s="201"/>
      <c r="Q31" s="178">
        <f>1499000*12</f>
        <v>17988000</v>
      </c>
      <c r="R31" s="178">
        <f>Q31*Forsendur!$B$18/Forsendur!$B$15</f>
        <v>21370906.104571585</v>
      </c>
      <c r="S31" s="178">
        <f>1499000*12</f>
        <v>17988000</v>
      </c>
      <c r="T31" s="180">
        <f>S31*Forsendur!$B$18/Forsendur!$B$15</f>
        <v>21370906.104571585</v>
      </c>
    </row>
    <row r="32" spans="1:20" x14ac:dyDescent="0.25">
      <c r="P32" s="8" t="s">
        <v>3</v>
      </c>
      <c r="Q32" s="188"/>
      <c r="R32" s="188"/>
      <c r="S32" s="189">
        <f>S14+S15+S16+S24+S26+S30+S31+S28+S25+S27</f>
        <v>30154084</v>
      </c>
      <c r="T32" s="190">
        <f>T14+T15+T16+T24+T26+T30+T31+T28+T25+T27</f>
        <v>35824999.879551053</v>
      </c>
    </row>
    <row r="33" spans="1:20" ht="15.75" thickBot="1" x14ac:dyDescent="0.3">
      <c r="P33" s="14" t="s">
        <v>125</v>
      </c>
      <c r="Q33" s="187"/>
      <c r="R33" s="187"/>
      <c r="S33" s="191">
        <f>S32/1.24</f>
        <v>24317809.677419353</v>
      </c>
      <c r="T33" s="192">
        <f>T32/1.24</f>
        <v>28891128.935121816</v>
      </c>
    </row>
    <row r="34" spans="1:20" ht="19.5" hidden="1" thickBot="1" x14ac:dyDescent="0.3">
      <c r="B34" s="84">
        <v>2012</v>
      </c>
      <c r="F34" s="251" t="s">
        <v>114</v>
      </c>
      <c r="G34" s="251"/>
      <c r="H34" s="251"/>
      <c r="I34" s="251"/>
      <c r="J34" s="251"/>
    </row>
    <row r="35" spans="1:20" hidden="1" x14ac:dyDescent="0.25"/>
    <row r="36" spans="1:20" hidden="1" x14ac:dyDescent="0.25">
      <c r="B36" s="8"/>
      <c r="C36" s="3" t="s">
        <v>75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85"/>
    </row>
    <row r="37" spans="1:20" hidden="1" x14ac:dyDescent="0.25">
      <c r="B37" s="8" t="s">
        <v>76</v>
      </c>
      <c r="C37" s="5" t="s">
        <v>77</v>
      </c>
      <c r="D37" s="106" t="s">
        <v>78</v>
      </c>
      <c r="E37" s="106" t="s">
        <v>42</v>
      </c>
      <c r="F37" s="106" t="s">
        <v>43</v>
      </c>
      <c r="G37" s="106" t="s">
        <v>44</v>
      </c>
      <c r="H37" s="106" t="s">
        <v>45</v>
      </c>
      <c r="I37" s="106" t="s">
        <v>72</v>
      </c>
      <c r="J37" s="106" t="s">
        <v>79</v>
      </c>
      <c r="K37" s="106" t="s">
        <v>80</v>
      </c>
      <c r="L37" s="106" t="s">
        <v>81</v>
      </c>
      <c r="M37" s="106" t="s">
        <v>82</v>
      </c>
      <c r="N37" s="106" t="s">
        <v>83</v>
      </c>
      <c r="O37" s="106" t="s">
        <v>2</v>
      </c>
      <c r="P37" s="44"/>
    </row>
    <row r="38" spans="1:20" ht="15.75" hidden="1" thickBot="1" x14ac:dyDescent="0.3">
      <c r="B38" s="86"/>
      <c r="C38" s="87" t="s">
        <v>84</v>
      </c>
      <c r="D38" s="115" t="s">
        <v>84</v>
      </c>
      <c r="E38" s="115" t="s">
        <v>84</v>
      </c>
      <c r="F38" s="115" t="s">
        <v>84</v>
      </c>
      <c r="G38" s="115" t="s">
        <v>84</v>
      </c>
      <c r="H38" s="115" t="s">
        <v>84</v>
      </c>
      <c r="I38" s="115" t="s">
        <v>84</v>
      </c>
      <c r="J38" s="115" t="s">
        <v>84</v>
      </c>
      <c r="K38" s="115" t="s">
        <v>84</v>
      </c>
      <c r="L38" s="115" t="s">
        <v>84</v>
      </c>
      <c r="M38" s="115" t="s">
        <v>84</v>
      </c>
      <c r="N38" s="115" t="s">
        <v>84</v>
      </c>
      <c r="O38" s="115" t="s">
        <v>85</v>
      </c>
      <c r="P38" s="44"/>
    </row>
    <row r="39" spans="1:20" hidden="1" x14ac:dyDescent="0.25">
      <c r="A39" s="252" t="s">
        <v>114</v>
      </c>
      <c r="B39" s="88" t="s">
        <v>87</v>
      </c>
      <c r="C39" s="89"/>
      <c r="D39" s="89"/>
      <c r="E39" s="89"/>
      <c r="F39" s="89"/>
      <c r="G39" s="89">
        <v>60</v>
      </c>
      <c r="H39" s="89">
        <v>1730</v>
      </c>
      <c r="I39" s="89"/>
      <c r="J39" s="89">
        <v>2200</v>
      </c>
      <c r="K39" s="89"/>
      <c r="L39" s="89"/>
      <c r="M39" s="89"/>
      <c r="N39" s="89"/>
      <c r="O39" s="90">
        <v>3990</v>
      </c>
      <c r="P39" s="248" t="s">
        <v>88</v>
      </c>
    </row>
    <row r="40" spans="1:20" hidden="1" x14ac:dyDescent="0.25">
      <c r="A40" s="253"/>
      <c r="B40" s="91" t="s">
        <v>89</v>
      </c>
      <c r="C40" s="92"/>
      <c r="D40" s="92"/>
      <c r="E40" s="92"/>
      <c r="F40" s="92"/>
      <c r="G40" s="92">
        <v>100</v>
      </c>
      <c r="H40" s="92">
        <v>4530</v>
      </c>
      <c r="I40" s="92">
        <v>120</v>
      </c>
      <c r="J40" s="92"/>
      <c r="K40" s="92"/>
      <c r="L40" s="92"/>
      <c r="M40" s="92"/>
      <c r="N40" s="92"/>
      <c r="O40" s="93">
        <v>4750</v>
      </c>
      <c r="P40" s="255"/>
    </row>
    <row r="41" spans="1:20" hidden="1" x14ac:dyDescent="0.25">
      <c r="A41" s="253"/>
      <c r="B41" s="91" t="s">
        <v>90</v>
      </c>
      <c r="C41" s="92"/>
      <c r="D41" s="92"/>
      <c r="E41" s="92"/>
      <c r="F41" s="92"/>
      <c r="G41" s="92"/>
      <c r="H41" s="92">
        <v>1600</v>
      </c>
      <c r="I41" s="92"/>
      <c r="J41" s="92"/>
      <c r="K41" s="92"/>
      <c r="L41" s="92"/>
      <c r="M41" s="92"/>
      <c r="N41" s="92"/>
      <c r="O41" s="93">
        <v>1600</v>
      </c>
      <c r="P41" s="255"/>
    </row>
    <row r="42" spans="1:20" hidden="1" x14ac:dyDescent="0.25">
      <c r="A42" s="253"/>
      <c r="B42" s="91" t="s">
        <v>91</v>
      </c>
      <c r="C42" s="92"/>
      <c r="D42" s="92"/>
      <c r="E42" s="92"/>
      <c r="F42" s="92"/>
      <c r="G42" s="92"/>
      <c r="H42" s="92">
        <v>1920</v>
      </c>
      <c r="I42" s="92"/>
      <c r="J42" s="92"/>
      <c r="K42" s="92"/>
      <c r="L42" s="92"/>
      <c r="M42" s="92"/>
      <c r="N42" s="92"/>
      <c r="O42" s="93">
        <v>1920</v>
      </c>
      <c r="P42" s="255"/>
    </row>
    <row r="43" spans="1:20" hidden="1" x14ac:dyDescent="0.25">
      <c r="A43" s="253"/>
      <c r="B43" s="91" t="s">
        <v>92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3">
        <v>0</v>
      </c>
      <c r="P43" s="255"/>
    </row>
    <row r="44" spans="1:20" hidden="1" x14ac:dyDescent="0.25">
      <c r="A44" s="253"/>
      <c r="B44" s="91" t="s">
        <v>93</v>
      </c>
      <c r="C44" s="92"/>
      <c r="D44" s="92"/>
      <c r="E44" s="92"/>
      <c r="F44" s="92"/>
      <c r="G44" s="92"/>
      <c r="H44" s="92">
        <v>1580</v>
      </c>
      <c r="I44" s="92"/>
      <c r="J44" s="92"/>
      <c r="K44" s="92"/>
      <c r="L44" s="92"/>
      <c r="M44" s="92"/>
      <c r="N44" s="92"/>
      <c r="O44" s="93">
        <v>1580</v>
      </c>
      <c r="P44" s="255"/>
    </row>
    <row r="45" spans="1:20" hidden="1" x14ac:dyDescent="0.25">
      <c r="A45" s="253"/>
      <c r="B45" s="91" t="s">
        <v>94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3">
        <v>0</v>
      </c>
      <c r="P45" s="255"/>
    </row>
    <row r="46" spans="1:20" hidden="1" x14ac:dyDescent="0.25">
      <c r="A46" s="253"/>
      <c r="B46" s="91" t="s">
        <v>95</v>
      </c>
      <c r="C46" s="92"/>
      <c r="D46" s="92">
        <v>260</v>
      </c>
      <c r="E46" s="92">
        <v>40</v>
      </c>
      <c r="F46" s="92">
        <v>80</v>
      </c>
      <c r="G46" s="92">
        <v>560</v>
      </c>
      <c r="H46" s="92">
        <v>840</v>
      </c>
      <c r="I46" s="92">
        <v>810</v>
      </c>
      <c r="J46" s="92">
        <v>200</v>
      </c>
      <c r="K46" s="92">
        <v>240</v>
      </c>
      <c r="L46" s="92"/>
      <c r="M46" s="92"/>
      <c r="N46" s="92">
        <v>20</v>
      </c>
      <c r="O46" s="93">
        <v>3050</v>
      </c>
      <c r="P46" s="255"/>
    </row>
    <row r="47" spans="1:20" hidden="1" x14ac:dyDescent="0.25">
      <c r="A47" s="253"/>
      <c r="B47" s="91" t="s">
        <v>96</v>
      </c>
      <c r="C47" s="92">
        <v>500</v>
      </c>
      <c r="D47" s="92">
        <v>220</v>
      </c>
      <c r="E47" s="92">
        <v>200</v>
      </c>
      <c r="F47" s="92">
        <v>300</v>
      </c>
      <c r="G47" s="92">
        <v>1150</v>
      </c>
      <c r="H47" s="92">
        <v>1030</v>
      </c>
      <c r="I47" s="92">
        <v>6090</v>
      </c>
      <c r="J47" s="92">
        <v>1000</v>
      </c>
      <c r="K47" s="92">
        <v>1550</v>
      </c>
      <c r="L47" s="92">
        <v>540</v>
      </c>
      <c r="M47" s="92">
        <v>560</v>
      </c>
      <c r="N47" s="92">
        <v>1120</v>
      </c>
      <c r="O47" s="93">
        <v>14260</v>
      </c>
      <c r="P47" s="255"/>
    </row>
    <row r="48" spans="1:20" hidden="1" x14ac:dyDescent="0.25">
      <c r="A48" s="253"/>
      <c r="B48" s="91" t="s">
        <v>97</v>
      </c>
      <c r="C48" s="92">
        <v>220</v>
      </c>
      <c r="D48" s="92">
        <v>150</v>
      </c>
      <c r="E48" s="92"/>
      <c r="F48" s="92"/>
      <c r="G48" s="92">
        <v>100</v>
      </c>
      <c r="H48" s="92"/>
      <c r="I48" s="92">
        <v>50</v>
      </c>
      <c r="J48" s="92">
        <v>600</v>
      </c>
      <c r="K48" s="92"/>
      <c r="L48" s="92"/>
      <c r="M48" s="92"/>
      <c r="N48" s="92"/>
      <c r="O48" s="93">
        <v>1120</v>
      </c>
      <c r="P48" s="255"/>
    </row>
    <row r="49" spans="1:16" hidden="1" x14ac:dyDescent="0.25">
      <c r="A49" s="253"/>
      <c r="B49" s="91" t="s">
        <v>98</v>
      </c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3">
        <v>0</v>
      </c>
      <c r="P49" s="255"/>
    </row>
    <row r="50" spans="1:16" hidden="1" x14ac:dyDescent="0.25">
      <c r="A50" s="253"/>
      <c r="B50" s="91" t="s">
        <v>99</v>
      </c>
      <c r="C50" s="92"/>
      <c r="D50" s="92">
        <v>70</v>
      </c>
      <c r="E50" s="92">
        <v>40</v>
      </c>
      <c r="F50" s="92">
        <v>300</v>
      </c>
      <c r="G50" s="92"/>
      <c r="H50" s="92">
        <v>640</v>
      </c>
      <c r="I50" s="92"/>
      <c r="J50" s="92"/>
      <c r="K50" s="92">
        <v>5</v>
      </c>
      <c r="L50" s="92"/>
      <c r="M50" s="92">
        <v>160</v>
      </c>
      <c r="N50" s="92"/>
      <c r="O50" s="93">
        <v>1215</v>
      </c>
      <c r="P50" s="255"/>
    </row>
    <row r="51" spans="1:16" hidden="1" x14ac:dyDescent="0.25">
      <c r="A51" s="253"/>
      <c r="B51" s="91" t="s">
        <v>101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3">
        <v>0</v>
      </c>
      <c r="P51" s="255"/>
    </row>
    <row r="52" spans="1:16" hidden="1" x14ac:dyDescent="0.25">
      <c r="A52" s="253"/>
      <c r="B52" s="91" t="s">
        <v>100</v>
      </c>
      <c r="C52" s="92"/>
      <c r="D52" s="92"/>
      <c r="E52" s="92"/>
      <c r="F52" s="92"/>
      <c r="G52" s="92"/>
      <c r="H52" s="92"/>
      <c r="I52" s="92">
        <v>140</v>
      </c>
      <c r="J52" s="92"/>
      <c r="K52" s="92"/>
      <c r="L52" s="92"/>
      <c r="M52" s="92"/>
      <c r="N52" s="92"/>
      <c r="O52" s="100">
        <v>140</v>
      </c>
      <c r="P52" s="255"/>
    </row>
    <row r="53" spans="1:16" hidden="1" x14ac:dyDescent="0.25">
      <c r="A53" s="253"/>
      <c r="B53" s="91" t="s">
        <v>102</v>
      </c>
      <c r="C53" s="92"/>
      <c r="D53" s="92"/>
      <c r="E53" s="92"/>
      <c r="F53" s="92"/>
      <c r="G53" s="92"/>
      <c r="H53" s="92">
        <v>10</v>
      </c>
      <c r="I53" s="92"/>
      <c r="J53" s="92"/>
      <c r="K53" s="92"/>
      <c r="L53" s="92"/>
      <c r="M53" s="92"/>
      <c r="N53" s="92"/>
      <c r="O53" s="93">
        <v>10</v>
      </c>
      <c r="P53" s="255"/>
    </row>
    <row r="54" spans="1:16" hidden="1" x14ac:dyDescent="0.25">
      <c r="A54" s="253"/>
      <c r="B54" s="91" t="s">
        <v>103</v>
      </c>
      <c r="C54" s="92"/>
      <c r="D54" s="92"/>
      <c r="E54" s="92"/>
      <c r="F54" s="92"/>
      <c r="G54" s="92">
        <v>20</v>
      </c>
      <c r="H54" s="92"/>
      <c r="I54" s="92">
        <v>940</v>
      </c>
      <c r="J54" s="92"/>
      <c r="K54" s="92"/>
      <c r="L54" s="92"/>
      <c r="M54" s="92"/>
      <c r="N54" s="92"/>
      <c r="O54" s="93">
        <v>960</v>
      </c>
      <c r="P54" s="255"/>
    </row>
    <row r="55" spans="1:16" ht="15.75" hidden="1" thickBot="1" x14ac:dyDescent="0.3">
      <c r="A55" s="253"/>
      <c r="B55" s="94" t="s">
        <v>104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6">
        <v>0</v>
      </c>
      <c r="P55" s="249"/>
    </row>
    <row r="56" spans="1:16" hidden="1" x14ac:dyDescent="0.25">
      <c r="A56" s="253"/>
      <c r="B56" s="88" t="s">
        <v>105</v>
      </c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90">
        <v>0</v>
      </c>
      <c r="P56" s="248" t="s">
        <v>106</v>
      </c>
    </row>
    <row r="57" spans="1:16" hidden="1" x14ac:dyDescent="0.25">
      <c r="A57" s="253"/>
      <c r="B57" s="91" t="s">
        <v>107</v>
      </c>
      <c r="C57" s="92"/>
      <c r="D57" s="92"/>
      <c r="E57" s="92"/>
      <c r="F57" s="92"/>
      <c r="G57" s="92"/>
      <c r="H57" s="92"/>
      <c r="I57" s="92">
        <v>120</v>
      </c>
      <c r="J57" s="92">
        <v>220</v>
      </c>
      <c r="K57" s="92">
        <v>290</v>
      </c>
      <c r="L57" s="92"/>
      <c r="M57" s="92"/>
      <c r="N57" s="92"/>
      <c r="O57" s="93">
        <v>630</v>
      </c>
      <c r="P57" s="255"/>
    </row>
    <row r="58" spans="1:16" hidden="1" x14ac:dyDescent="0.25">
      <c r="A58" s="253"/>
      <c r="B58" s="91" t="s">
        <v>108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3">
        <v>0</v>
      </c>
      <c r="P58" s="255"/>
    </row>
    <row r="59" spans="1:16" ht="15.75" hidden="1" thickBot="1" x14ac:dyDescent="0.3">
      <c r="A59" s="254"/>
      <c r="B59" s="94" t="s">
        <v>115</v>
      </c>
      <c r="C59" s="95">
        <v>660</v>
      </c>
      <c r="D59" s="95">
        <v>300</v>
      </c>
      <c r="E59" s="95">
        <v>460</v>
      </c>
      <c r="F59" s="95">
        <v>40</v>
      </c>
      <c r="G59" s="95"/>
      <c r="H59" s="95">
        <v>5040</v>
      </c>
      <c r="I59" s="95">
        <v>660</v>
      </c>
      <c r="J59" s="95">
        <v>200</v>
      </c>
      <c r="K59" s="95"/>
      <c r="L59" s="95">
        <v>80</v>
      </c>
      <c r="M59" s="95"/>
      <c r="N59" s="95"/>
      <c r="O59" s="96">
        <v>7440</v>
      </c>
      <c r="P59" s="249"/>
    </row>
    <row r="60" spans="1:16" hidden="1" x14ac:dyDescent="0.25">
      <c r="A60" s="246" t="s">
        <v>110</v>
      </c>
      <c r="B60" s="88" t="s">
        <v>111</v>
      </c>
      <c r="C60" s="89">
        <v>310</v>
      </c>
      <c r="D60" s="89">
        <v>680</v>
      </c>
      <c r="E60" s="89">
        <v>540</v>
      </c>
      <c r="F60" s="89">
        <v>560</v>
      </c>
      <c r="G60" s="89">
        <v>800</v>
      </c>
      <c r="H60" s="89">
        <v>1630</v>
      </c>
      <c r="I60" s="89">
        <v>2270</v>
      </c>
      <c r="J60" s="89">
        <v>1740</v>
      </c>
      <c r="K60" s="89">
        <v>650</v>
      </c>
      <c r="L60" s="89">
        <v>520</v>
      </c>
      <c r="M60" s="89">
        <v>420</v>
      </c>
      <c r="N60" s="89">
        <v>100</v>
      </c>
      <c r="O60" s="97">
        <v>10220</v>
      </c>
      <c r="P60" s="248" t="s">
        <v>112</v>
      </c>
    </row>
    <row r="61" spans="1:16" ht="17.25" hidden="1" thickBot="1" x14ac:dyDescent="0.35">
      <c r="A61" s="247"/>
      <c r="B61" s="98" t="s">
        <v>116</v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>
        <v>200</v>
      </c>
      <c r="N61" s="95">
        <v>100</v>
      </c>
      <c r="O61" s="99">
        <v>300</v>
      </c>
      <c r="P61" s="249"/>
    </row>
    <row r="62" spans="1:16" hidden="1" x14ac:dyDescent="0.25"/>
    <row r="63" spans="1:16" hidden="1" x14ac:dyDescent="0.25"/>
    <row r="64" spans="1:16" hidden="1" x14ac:dyDescent="0.25"/>
    <row r="65" spans="1:16" hidden="1" x14ac:dyDescent="0.25"/>
    <row r="66" spans="1:16" ht="21" hidden="1" x14ac:dyDescent="0.25">
      <c r="B66" s="83" t="s">
        <v>83</v>
      </c>
      <c r="F66" s="250" t="s">
        <v>73</v>
      </c>
      <c r="G66" s="250"/>
      <c r="H66" s="250"/>
      <c r="I66" s="250"/>
      <c r="J66" s="250"/>
    </row>
    <row r="67" spans="1:16" ht="19.5" hidden="1" thickBot="1" x14ac:dyDescent="0.3">
      <c r="B67" s="84">
        <v>2012</v>
      </c>
      <c r="F67" s="251" t="s">
        <v>117</v>
      </c>
      <c r="G67" s="251"/>
      <c r="H67" s="251"/>
      <c r="I67" s="251"/>
      <c r="J67" s="251"/>
    </row>
    <row r="68" spans="1:16" hidden="1" x14ac:dyDescent="0.25"/>
    <row r="69" spans="1:16" hidden="1" x14ac:dyDescent="0.25">
      <c r="B69" s="8"/>
      <c r="C69" s="3" t="s">
        <v>75</v>
      </c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85"/>
    </row>
    <row r="70" spans="1:16" hidden="1" x14ac:dyDescent="0.25">
      <c r="B70" s="8" t="s">
        <v>76</v>
      </c>
      <c r="C70" s="5" t="s">
        <v>77</v>
      </c>
      <c r="D70" s="106" t="s">
        <v>78</v>
      </c>
      <c r="E70" s="106" t="s">
        <v>42</v>
      </c>
      <c r="F70" s="106" t="s">
        <v>43</v>
      </c>
      <c r="G70" s="106" t="s">
        <v>44</v>
      </c>
      <c r="H70" s="106" t="s">
        <v>45</v>
      </c>
      <c r="I70" s="106" t="s">
        <v>72</v>
      </c>
      <c r="J70" s="106" t="s">
        <v>79</v>
      </c>
      <c r="K70" s="106" t="s">
        <v>80</v>
      </c>
      <c r="L70" s="106" t="s">
        <v>81</v>
      </c>
      <c r="M70" s="106" t="s">
        <v>82</v>
      </c>
      <c r="N70" s="106" t="s">
        <v>83</v>
      </c>
      <c r="O70" s="106" t="s">
        <v>2</v>
      </c>
      <c r="P70" s="44"/>
    </row>
    <row r="71" spans="1:16" ht="15.75" hidden="1" thickBot="1" x14ac:dyDescent="0.3">
      <c r="B71" s="86"/>
      <c r="C71" s="87" t="s">
        <v>84</v>
      </c>
      <c r="D71" s="115" t="s">
        <v>84</v>
      </c>
      <c r="E71" s="115" t="s">
        <v>84</v>
      </c>
      <c r="F71" s="115" t="s">
        <v>84</v>
      </c>
      <c r="G71" s="115" t="s">
        <v>84</v>
      </c>
      <c r="H71" s="115" t="s">
        <v>84</v>
      </c>
      <c r="I71" s="115" t="s">
        <v>84</v>
      </c>
      <c r="J71" s="115" t="s">
        <v>84</v>
      </c>
      <c r="K71" s="115" t="s">
        <v>84</v>
      </c>
      <c r="L71" s="115" t="s">
        <v>84</v>
      </c>
      <c r="M71" s="115" t="s">
        <v>84</v>
      </c>
      <c r="N71" s="115" t="s">
        <v>84</v>
      </c>
      <c r="O71" s="115" t="s">
        <v>85</v>
      </c>
      <c r="P71" s="44"/>
    </row>
    <row r="72" spans="1:16" hidden="1" x14ac:dyDescent="0.25">
      <c r="A72" s="252" t="s">
        <v>118</v>
      </c>
      <c r="B72" s="88" t="s">
        <v>87</v>
      </c>
      <c r="C72" s="89">
        <v>15184</v>
      </c>
      <c r="D72" s="89">
        <v>15648</v>
      </c>
      <c r="E72" s="89">
        <v>14400</v>
      </c>
      <c r="F72" s="89">
        <v>13952</v>
      </c>
      <c r="G72" s="89">
        <v>12344</v>
      </c>
      <c r="H72" s="89">
        <v>14592</v>
      </c>
      <c r="I72" s="89">
        <v>13648</v>
      </c>
      <c r="J72" s="89">
        <v>12688</v>
      </c>
      <c r="K72" s="89">
        <v>10160</v>
      </c>
      <c r="L72" s="89">
        <v>25832</v>
      </c>
      <c r="M72" s="89">
        <v>17840</v>
      </c>
      <c r="N72" s="89">
        <v>19648</v>
      </c>
      <c r="O72" s="90">
        <v>185936</v>
      </c>
      <c r="P72" s="248" t="s">
        <v>88</v>
      </c>
    </row>
    <row r="73" spans="1:16" hidden="1" x14ac:dyDescent="0.25">
      <c r="A73" s="253"/>
      <c r="B73" s="91" t="s">
        <v>89</v>
      </c>
      <c r="C73" s="92">
        <v>1518</v>
      </c>
      <c r="D73" s="92">
        <v>1565</v>
      </c>
      <c r="E73" s="92">
        <v>1440</v>
      </c>
      <c r="F73" s="92">
        <v>1395</v>
      </c>
      <c r="G73" s="92">
        <v>1234</v>
      </c>
      <c r="H73" s="92">
        <v>1459</v>
      </c>
      <c r="I73" s="92">
        <v>1365</v>
      </c>
      <c r="J73" s="92">
        <v>1269</v>
      </c>
      <c r="K73" s="92">
        <v>1016</v>
      </c>
      <c r="L73" s="92">
        <v>2583</v>
      </c>
      <c r="M73" s="92">
        <v>1784</v>
      </c>
      <c r="N73" s="92">
        <v>1965</v>
      </c>
      <c r="O73" s="93">
        <v>18593</v>
      </c>
      <c r="P73" s="255"/>
    </row>
    <row r="74" spans="1:16" hidden="1" x14ac:dyDescent="0.25">
      <c r="A74" s="253"/>
      <c r="B74" s="91" t="s">
        <v>90</v>
      </c>
      <c r="C74" s="92">
        <v>380</v>
      </c>
      <c r="D74" s="92">
        <v>391</v>
      </c>
      <c r="E74" s="92">
        <v>360</v>
      </c>
      <c r="F74" s="92">
        <v>349</v>
      </c>
      <c r="G74" s="92">
        <v>309</v>
      </c>
      <c r="H74" s="92">
        <v>365</v>
      </c>
      <c r="I74" s="92">
        <v>341</v>
      </c>
      <c r="J74" s="92">
        <v>317</v>
      </c>
      <c r="K74" s="92">
        <v>254</v>
      </c>
      <c r="L74" s="92">
        <v>645</v>
      </c>
      <c r="M74" s="92">
        <v>446</v>
      </c>
      <c r="N74" s="92">
        <v>491</v>
      </c>
      <c r="O74" s="93">
        <v>4648</v>
      </c>
      <c r="P74" s="255"/>
    </row>
    <row r="75" spans="1:16" hidden="1" x14ac:dyDescent="0.25">
      <c r="A75" s="253"/>
      <c r="B75" s="91" t="s">
        <v>91</v>
      </c>
      <c r="C75" s="92">
        <v>1139</v>
      </c>
      <c r="D75" s="92">
        <v>1174</v>
      </c>
      <c r="E75" s="92">
        <v>1080</v>
      </c>
      <c r="F75" s="92">
        <v>1046</v>
      </c>
      <c r="G75" s="92">
        <v>926</v>
      </c>
      <c r="H75" s="92">
        <v>1049</v>
      </c>
      <c r="I75" s="92">
        <v>1024</v>
      </c>
      <c r="J75" s="92">
        <v>952</v>
      </c>
      <c r="K75" s="92">
        <v>762</v>
      </c>
      <c r="L75" s="92">
        <v>1937</v>
      </c>
      <c r="M75" s="92">
        <v>1338</v>
      </c>
      <c r="N75" s="92">
        <v>1474</v>
      </c>
      <c r="O75" s="93">
        <v>13901</v>
      </c>
      <c r="P75" s="255"/>
    </row>
    <row r="76" spans="1:16" hidden="1" x14ac:dyDescent="0.25">
      <c r="A76" s="253"/>
      <c r="B76" s="91" t="s">
        <v>119</v>
      </c>
      <c r="C76" s="92">
        <v>380</v>
      </c>
      <c r="D76" s="92">
        <v>391</v>
      </c>
      <c r="E76" s="92">
        <v>360</v>
      </c>
      <c r="F76" s="92">
        <v>349</v>
      </c>
      <c r="G76" s="92">
        <v>309</v>
      </c>
      <c r="H76" s="92">
        <v>365</v>
      </c>
      <c r="I76" s="92">
        <v>341</v>
      </c>
      <c r="J76" s="92">
        <v>317</v>
      </c>
      <c r="K76" s="92">
        <v>254</v>
      </c>
      <c r="L76" s="92">
        <v>645</v>
      </c>
      <c r="M76" s="92">
        <v>446</v>
      </c>
      <c r="N76" s="92">
        <v>491</v>
      </c>
      <c r="O76" s="93">
        <v>4648</v>
      </c>
      <c r="P76" s="255"/>
    </row>
    <row r="77" spans="1:16" hidden="1" x14ac:dyDescent="0.25">
      <c r="A77" s="253"/>
      <c r="B77" s="91" t="s">
        <v>95</v>
      </c>
      <c r="C77" s="92">
        <v>380</v>
      </c>
      <c r="D77" s="92">
        <v>391</v>
      </c>
      <c r="E77" s="92">
        <v>360</v>
      </c>
      <c r="F77" s="92">
        <v>349</v>
      </c>
      <c r="G77" s="92">
        <v>309</v>
      </c>
      <c r="H77" s="92">
        <v>365</v>
      </c>
      <c r="I77" s="92">
        <v>341</v>
      </c>
      <c r="J77" s="92">
        <v>317</v>
      </c>
      <c r="K77" s="92">
        <v>254</v>
      </c>
      <c r="L77" s="92">
        <v>645</v>
      </c>
      <c r="M77" s="92">
        <v>446</v>
      </c>
      <c r="N77" s="92">
        <v>491</v>
      </c>
      <c r="O77" s="93">
        <v>4648</v>
      </c>
      <c r="P77" s="255"/>
    </row>
    <row r="78" spans="1:16" ht="15.75" hidden="1" thickBot="1" x14ac:dyDescent="0.3">
      <c r="A78" s="253"/>
      <c r="B78" s="101" t="s">
        <v>98</v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102">
        <v>0</v>
      </c>
      <c r="P78" s="255"/>
    </row>
    <row r="79" spans="1:16" hidden="1" x14ac:dyDescent="0.25">
      <c r="A79" s="246" t="s">
        <v>110</v>
      </c>
      <c r="B79" s="88" t="s">
        <v>120</v>
      </c>
      <c r="C79" s="89">
        <v>107940</v>
      </c>
      <c r="D79" s="89">
        <v>94560</v>
      </c>
      <c r="E79" s="89">
        <v>86920</v>
      </c>
      <c r="F79" s="89">
        <v>94140</v>
      </c>
      <c r="G79" s="89">
        <v>85380</v>
      </c>
      <c r="H79" s="89">
        <v>95160</v>
      </c>
      <c r="I79" s="89">
        <v>85720</v>
      </c>
      <c r="J79" s="89">
        <v>105060</v>
      </c>
      <c r="K79" s="89">
        <v>83340</v>
      </c>
      <c r="L79" s="89">
        <v>81140</v>
      </c>
      <c r="M79" s="89">
        <v>93740</v>
      </c>
      <c r="N79" s="89">
        <v>83240</v>
      </c>
      <c r="O79" s="97">
        <v>1096340</v>
      </c>
      <c r="P79" s="248" t="s">
        <v>112</v>
      </c>
    </row>
    <row r="80" spans="1:16" ht="17.25" hidden="1" thickBot="1" x14ac:dyDescent="0.35">
      <c r="A80" s="247"/>
      <c r="B80" s="98" t="s">
        <v>121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9">
        <v>0</v>
      </c>
      <c r="P80" s="249"/>
    </row>
    <row r="81" spans="18:18" hidden="1" x14ac:dyDescent="0.25"/>
    <row r="82" spans="18:18" hidden="1" x14ac:dyDescent="0.25"/>
    <row r="83" spans="18:18" hidden="1" x14ac:dyDescent="0.25"/>
    <row r="84" spans="18:18" ht="15.75" thickTop="1" x14ac:dyDescent="0.25"/>
    <row r="87" spans="18:18" x14ac:dyDescent="0.25">
      <c r="R87" s="103"/>
    </row>
  </sheetData>
  <mergeCells count="21">
    <mergeCell ref="F66:J66"/>
    <mergeCell ref="F67:J67"/>
    <mergeCell ref="A72:A78"/>
    <mergeCell ref="P72:P78"/>
    <mergeCell ref="A79:A80"/>
    <mergeCell ref="P79:P80"/>
    <mergeCell ref="A60:A61"/>
    <mergeCell ref="P60:P61"/>
    <mergeCell ref="F1:J1"/>
    <mergeCell ref="F2:J2"/>
    <mergeCell ref="A7:A27"/>
    <mergeCell ref="P7:P23"/>
    <mergeCell ref="P24:P27"/>
    <mergeCell ref="A28:A29"/>
    <mergeCell ref="P28:P29"/>
    <mergeCell ref="F34:J34"/>
    <mergeCell ref="A39:A59"/>
    <mergeCell ref="P39:P55"/>
    <mergeCell ref="P56:P59"/>
    <mergeCell ref="C4:L4"/>
    <mergeCell ref="M4:N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I71"/>
  <sheetViews>
    <sheetView topLeftCell="A37" workbookViewId="0">
      <selection activeCell="F17" sqref="F17"/>
    </sheetView>
  </sheetViews>
  <sheetFormatPr defaultColWidth="8.85546875" defaultRowHeight="15" x14ac:dyDescent="0.25"/>
  <cols>
    <col min="1" max="1" width="54" style="114" bestFit="1" customWidth="1"/>
    <col min="2" max="2" width="21.7109375" style="114" customWidth="1"/>
    <col min="3" max="3" width="23" style="114" customWidth="1"/>
    <col min="4" max="4" width="18.7109375" style="114" customWidth="1"/>
    <col min="5" max="5" width="17.85546875" style="114" customWidth="1"/>
    <col min="6" max="6" width="19.85546875" style="114" customWidth="1"/>
    <col min="8" max="8" width="16.85546875" style="114" customWidth="1"/>
    <col min="9" max="9" width="12.7109375" style="114" customWidth="1"/>
    <col min="10" max="16384" width="8.85546875" style="114"/>
  </cols>
  <sheetData>
    <row r="1" spans="1:9" x14ac:dyDescent="0.25">
      <c r="A1" s="104" t="s">
        <v>145</v>
      </c>
    </row>
    <row r="2" spans="1:9" x14ac:dyDescent="0.25">
      <c r="E2" s="114">
        <f>12/9</f>
        <v>1.3333333333333333</v>
      </c>
      <c r="F2" s="224">
        <v>3.3019626769626775E-2</v>
      </c>
    </row>
    <row r="3" spans="1:9" x14ac:dyDescent="0.25">
      <c r="B3" s="127" t="s">
        <v>201</v>
      </c>
      <c r="C3" s="127" t="s">
        <v>202</v>
      </c>
      <c r="D3" s="127" t="s">
        <v>146</v>
      </c>
      <c r="E3" s="128" t="s">
        <v>144</v>
      </c>
      <c r="F3" s="221" t="s">
        <v>147</v>
      </c>
    </row>
    <row r="4" spans="1:9" x14ac:dyDescent="0.25">
      <c r="A4" s="104" t="s">
        <v>164</v>
      </c>
      <c r="B4" s="105"/>
      <c r="C4" s="105">
        <v>4352000</v>
      </c>
      <c r="D4" s="105">
        <v>-3000361</v>
      </c>
      <c r="E4" s="12"/>
      <c r="F4" s="212">
        <v>2910000</v>
      </c>
    </row>
    <row r="5" spans="1:9" x14ac:dyDescent="0.25">
      <c r="A5" s="104" t="s">
        <v>165</v>
      </c>
      <c r="B5" s="105">
        <f>-6484000</f>
        <v>-6484000</v>
      </c>
      <c r="C5" s="105">
        <v>-304000</v>
      </c>
      <c r="D5" s="105">
        <v>-8097616</v>
      </c>
      <c r="E5" s="129">
        <f>SUM(E6:E18)</f>
        <v>-1129005</v>
      </c>
      <c r="F5" s="222">
        <f>SUM(F6:F18)</f>
        <v>-5313953.7906007469</v>
      </c>
      <c r="I5" s="66"/>
    </row>
    <row r="6" spans="1:9" x14ac:dyDescent="0.25">
      <c r="A6" s="112" t="s">
        <v>166</v>
      </c>
      <c r="B6" s="107"/>
      <c r="C6" s="107">
        <v>-74800000</v>
      </c>
      <c r="D6" s="107">
        <v>-54341000</v>
      </c>
      <c r="E6" s="12">
        <v>-74800000</v>
      </c>
      <c r="F6" s="213">
        <f>-74592000*(100%+F2)</f>
        <v>-77055000</v>
      </c>
    </row>
    <row r="7" spans="1:9" x14ac:dyDescent="0.25">
      <c r="A7" s="112" t="s">
        <v>167</v>
      </c>
      <c r="C7" s="107">
        <v>6180000</v>
      </c>
      <c r="E7" s="12">
        <v>6180000</v>
      </c>
      <c r="F7" s="174"/>
    </row>
    <row r="8" spans="1:9" x14ac:dyDescent="0.25">
      <c r="A8" s="112" t="s">
        <v>150</v>
      </c>
      <c r="B8" s="107"/>
      <c r="C8" s="107">
        <v>673000</v>
      </c>
      <c r="D8" s="107">
        <v>504748</v>
      </c>
      <c r="E8" s="12">
        <v>673000</v>
      </c>
      <c r="F8" s="213">
        <v>911000</v>
      </c>
    </row>
    <row r="9" spans="1:9" x14ac:dyDescent="0.25">
      <c r="A9" s="112" t="s">
        <v>168</v>
      </c>
      <c r="B9" s="107"/>
      <c r="C9" s="107">
        <v>50000</v>
      </c>
      <c r="D9" s="107">
        <v>7200</v>
      </c>
      <c r="E9" s="12">
        <v>25000</v>
      </c>
      <c r="F9" s="213">
        <v>52000</v>
      </c>
    </row>
    <row r="10" spans="1:9" x14ac:dyDescent="0.25">
      <c r="A10" s="112" t="s">
        <v>169</v>
      </c>
      <c r="B10" s="107"/>
      <c r="C10" s="107">
        <v>339000</v>
      </c>
      <c r="D10" s="107">
        <v>296972</v>
      </c>
      <c r="E10" s="12">
        <v>350000</v>
      </c>
      <c r="F10" s="213">
        <v>353000</v>
      </c>
    </row>
    <row r="11" spans="1:9" x14ac:dyDescent="0.25">
      <c r="A11" s="112" t="s">
        <v>170</v>
      </c>
      <c r="C11" s="107">
        <v>2551000</v>
      </c>
      <c r="E11" s="12">
        <v>0</v>
      </c>
      <c r="F11" s="213">
        <v>2654000</v>
      </c>
    </row>
    <row r="12" spans="1:9" x14ac:dyDescent="0.25">
      <c r="A12" s="112" t="s">
        <v>163</v>
      </c>
      <c r="C12" s="107">
        <v>180000</v>
      </c>
      <c r="E12" s="12">
        <v>180000</v>
      </c>
      <c r="F12" s="213">
        <v>188000</v>
      </c>
    </row>
    <row r="13" spans="1:9" x14ac:dyDescent="0.25">
      <c r="A13" s="112" t="s">
        <v>149</v>
      </c>
      <c r="C13" s="107">
        <v>484000</v>
      </c>
      <c r="E13" s="12"/>
      <c r="F13" s="213">
        <v>504000</v>
      </c>
    </row>
    <row r="14" spans="1:9" x14ac:dyDescent="0.25">
      <c r="A14" s="112" t="s">
        <v>171</v>
      </c>
      <c r="B14" s="107"/>
      <c r="D14" s="107">
        <v>653045</v>
      </c>
      <c r="E14" s="12">
        <v>653045</v>
      </c>
      <c r="F14" s="174"/>
    </row>
    <row r="15" spans="1:9" x14ac:dyDescent="0.25">
      <c r="A15" s="112" t="s">
        <v>172</v>
      </c>
      <c r="C15" s="107">
        <v>515000</v>
      </c>
      <c r="E15" s="12"/>
      <c r="F15" s="213">
        <v>536000</v>
      </c>
      <c r="H15" s="244"/>
    </row>
    <row r="16" spans="1:9" ht="15.75" thickBot="1" x14ac:dyDescent="0.3">
      <c r="A16" s="112" t="s">
        <v>173</v>
      </c>
      <c r="B16" s="107"/>
      <c r="C16" s="107">
        <v>125000</v>
      </c>
      <c r="D16" s="107">
        <v>209950</v>
      </c>
      <c r="E16" s="12">
        <v>209950</v>
      </c>
      <c r="F16" s="213">
        <v>130000</v>
      </c>
    </row>
    <row r="17" spans="1:9" ht="15.75" thickBot="1" x14ac:dyDescent="0.3">
      <c r="A17" s="112" t="s">
        <v>174</v>
      </c>
      <c r="B17" s="107"/>
      <c r="C17" s="107">
        <v>61999000</v>
      </c>
      <c r="D17" s="107">
        <v>43997719</v>
      </c>
      <c r="E17" s="12">
        <v>64000000</v>
      </c>
      <c r="F17" s="124">
        <f>'sorp 2015-1'!I37+'Grófur úrg. 2015'!N3+'Sorpeyðing Fíflholt'!B48+Sorpmótttökustöð!T33</f>
        <v>63613046.209399253</v>
      </c>
      <c r="I17" s="8"/>
    </row>
    <row r="18" spans="1:9" x14ac:dyDescent="0.25">
      <c r="A18" s="112" t="s">
        <v>153</v>
      </c>
      <c r="B18" s="107"/>
      <c r="C18" s="107">
        <v>1400000</v>
      </c>
      <c r="D18" s="107">
        <v>573750</v>
      </c>
      <c r="E18" s="12">
        <v>1400000</v>
      </c>
      <c r="F18" s="213">
        <v>2800000</v>
      </c>
      <c r="G18" s="114"/>
    </row>
    <row r="19" spans="1:9" x14ac:dyDescent="0.25">
      <c r="A19" s="112"/>
      <c r="B19" s="107"/>
      <c r="C19" s="107"/>
      <c r="D19" s="107"/>
      <c r="E19" s="12"/>
      <c r="F19" s="213"/>
      <c r="G19" s="114"/>
    </row>
    <row r="20" spans="1:9" x14ac:dyDescent="0.25">
      <c r="A20" s="104" t="s">
        <v>175</v>
      </c>
      <c r="B20" s="220">
        <v>500000</v>
      </c>
      <c r="C20" s="105">
        <v>500000</v>
      </c>
      <c r="D20" s="105">
        <v>137056</v>
      </c>
      <c r="E20" s="129">
        <v>500000</v>
      </c>
      <c r="F20" s="212">
        <f>F21</f>
        <v>300000</v>
      </c>
      <c r="G20" s="114"/>
    </row>
    <row r="21" spans="1:9" x14ac:dyDescent="0.25">
      <c r="A21" s="112" t="s">
        <v>162</v>
      </c>
      <c r="B21" s="107"/>
      <c r="C21" s="107">
        <v>500000</v>
      </c>
      <c r="D21" s="107">
        <v>137056</v>
      </c>
      <c r="E21" s="12">
        <v>500000</v>
      </c>
      <c r="F21" s="213">
        <v>300000</v>
      </c>
      <c r="G21" s="114"/>
    </row>
    <row r="22" spans="1:9" x14ac:dyDescent="0.25">
      <c r="A22" s="112"/>
      <c r="B22" s="107"/>
      <c r="C22" s="107"/>
      <c r="D22" s="107"/>
      <c r="E22" s="12"/>
      <c r="F22" s="213"/>
      <c r="G22" s="114"/>
    </row>
    <row r="23" spans="1:9" x14ac:dyDescent="0.25">
      <c r="A23" s="104" t="s">
        <v>176</v>
      </c>
      <c r="E23" s="12"/>
      <c r="F23" s="174"/>
      <c r="G23" s="114"/>
    </row>
    <row r="24" spans="1:9" x14ac:dyDescent="0.25">
      <c r="A24" s="104" t="s">
        <v>177</v>
      </c>
      <c r="E24" s="12"/>
      <c r="F24" s="174"/>
      <c r="G24" s="114"/>
    </row>
    <row r="25" spans="1:9" x14ac:dyDescent="0.25">
      <c r="A25" s="104" t="s">
        <v>178</v>
      </c>
      <c r="E25" s="12"/>
      <c r="F25" s="174"/>
      <c r="G25" s="114"/>
    </row>
    <row r="26" spans="1:9" x14ac:dyDescent="0.25">
      <c r="A26" s="104" t="s">
        <v>179</v>
      </c>
      <c r="E26" s="12"/>
      <c r="F26" s="174"/>
      <c r="G26" s="114"/>
    </row>
    <row r="27" spans="1:9" x14ac:dyDescent="0.25">
      <c r="A27" s="104" t="s">
        <v>180</v>
      </c>
      <c r="B27" s="105">
        <v>1080000</v>
      </c>
      <c r="C27" s="105">
        <v>1080000</v>
      </c>
      <c r="D27" s="105">
        <v>3159165</v>
      </c>
      <c r="E27" s="129">
        <f>SUM(E28:E38)</f>
        <v>3159165</v>
      </c>
      <c r="F27" s="212">
        <f>SUM(F28:F38)</f>
        <v>1498000</v>
      </c>
      <c r="G27" s="114"/>
    </row>
    <row r="28" spans="1:9" x14ac:dyDescent="0.25">
      <c r="A28" s="112" t="s">
        <v>181</v>
      </c>
      <c r="B28" s="107"/>
      <c r="D28" s="107">
        <v>10560</v>
      </c>
      <c r="E28" s="12">
        <v>10560</v>
      </c>
      <c r="F28" s="174"/>
      <c r="G28" s="114"/>
    </row>
    <row r="29" spans="1:9" x14ac:dyDescent="0.25">
      <c r="A29" s="112" t="s">
        <v>182</v>
      </c>
      <c r="B29" s="107"/>
      <c r="D29" s="107">
        <v>25950</v>
      </c>
      <c r="E29" s="12">
        <v>25950</v>
      </c>
      <c r="F29" s="174"/>
      <c r="G29" s="114"/>
    </row>
    <row r="30" spans="1:9" x14ac:dyDescent="0.25">
      <c r="A30" s="112" t="s">
        <v>183</v>
      </c>
      <c r="B30" s="107"/>
      <c r="D30" s="107">
        <v>98773</v>
      </c>
      <c r="E30" s="12">
        <v>98773</v>
      </c>
      <c r="F30" s="174"/>
      <c r="G30" s="114"/>
    </row>
    <row r="31" spans="1:9" x14ac:dyDescent="0.25">
      <c r="A31" s="112" t="s">
        <v>172</v>
      </c>
      <c r="B31" s="107"/>
      <c r="D31" s="107">
        <v>14960</v>
      </c>
      <c r="E31" s="12">
        <v>14960</v>
      </c>
      <c r="F31" s="174"/>
      <c r="G31" s="114"/>
    </row>
    <row r="32" spans="1:9" x14ac:dyDescent="0.25">
      <c r="A32" s="112" t="s">
        <v>148</v>
      </c>
      <c r="B32" s="107"/>
      <c r="D32" s="107">
        <v>14260</v>
      </c>
      <c r="E32" s="12">
        <v>14260</v>
      </c>
      <c r="F32" s="174"/>
      <c r="G32" s="114"/>
    </row>
    <row r="33" spans="1:7" x14ac:dyDescent="0.25">
      <c r="A33" s="112" t="s">
        <v>184</v>
      </c>
      <c r="B33" s="107"/>
      <c r="D33" s="107">
        <v>1837825</v>
      </c>
      <c r="E33" s="12">
        <v>1837825</v>
      </c>
      <c r="F33" s="174"/>
      <c r="G33" s="114"/>
    </row>
    <row r="34" spans="1:7" x14ac:dyDescent="0.25">
      <c r="A34" s="112" t="s">
        <v>185</v>
      </c>
      <c r="B34" s="107"/>
      <c r="D34" s="107">
        <v>20035</v>
      </c>
      <c r="E34" s="12">
        <v>20035</v>
      </c>
      <c r="F34" s="174"/>
      <c r="G34" s="114"/>
    </row>
    <row r="35" spans="1:7" x14ac:dyDescent="0.25">
      <c r="A35" s="112" t="s">
        <v>154</v>
      </c>
      <c r="B35" s="107"/>
      <c r="C35" s="107">
        <v>15000</v>
      </c>
      <c r="D35" s="107">
        <v>15478</v>
      </c>
      <c r="E35" s="12">
        <v>15478</v>
      </c>
      <c r="F35" s="213">
        <v>16000</v>
      </c>
      <c r="G35" s="114"/>
    </row>
    <row r="36" spans="1:7" x14ac:dyDescent="0.25">
      <c r="A36" s="112" t="s">
        <v>155</v>
      </c>
      <c r="B36" s="107"/>
      <c r="C36" s="107">
        <v>635000</v>
      </c>
      <c r="D36" s="107">
        <v>1121324</v>
      </c>
      <c r="E36" s="12">
        <v>1121324</v>
      </c>
      <c r="F36" s="213">
        <v>661000</v>
      </c>
      <c r="G36" s="114"/>
    </row>
    <row r="37" spans="1:7" x14ac:dyDescent="0.25">
      <c r="A37" s="112" t="s">
        <v>156</v>
      </c>
      <c r="C37" s="107">
        <v>20000</v>
      </c>
      <c r="E37" s="12">
        <v>0</v>
      </c>
      <c r="F37" s="213">
        <v>21000</v>
      </c>
      <c r="G37" s="114"/>
    </row>
    <row r="38" spans="1:7" x14ac:dyDescent="0.25">
      <c r="A38" s="112" t="s">
        <v>173</v>
      </c>
      <c r="C38" s="107">
        <v>410000</v>
      </c>
      <c r="E38" s="12">
        <v>0</v>
      </c>
      <c r="F38" s="213">
        <v>800000</v>
      </c>
      <c r="G38" s="114"/>
    </row>
    <row r="39" spans="1:7" x14ac:dyDescent="0.25">
      <c r="A39" s="104" t="s">
        <v>186</v>
      </c>
      <c r="B39" s="105">
        <v>640000</v>
      </c>
      <c r="C39" s="105">
        <v>640000</v>
      </c>
      <c r="D39" s="105">
        <v>84079</v>
      </c>
      <c r="E39" s="129">
        <f>SUM(E40:E45)</f>
        <v>669218</v>
      </c>
      <c r="F39" s="212">
        <f>SUM(F40:F44)</f>
        <v>667000</v>
      </c>
      <c r="G39" s="114"/>
    </row>
    <row r="40" spans="1:7" x14ac:dyDescent="0.25">
      <c r="A40" s="112" t="s">
        <v>187</v>
      </c>
      <c r="B40" s="105"/>
      <c r="D40" s="107">
        <v>9682</v>
      </c>
      <c r="E40" s="12">
        <v>9682</v>
      </c>
      <c r="F40" s="174"/>
      <c r="G40" s="114"/>
    </row>
    <row r="41" spans="1:7" x14ac:dyDescent="0.25">
      <c r="A41" s="112" t="s">
        <v>188</v>
      </c>
      <c r="B41" s="105"/>
      <c r="D41" s="107">
        <v>20000</v>
      </c>
      <c r="E41" s="12">
        <v>20000</v>
      </c>
      <c r="F41" s="174"/>
      <c r="G41" s="114"/>
    </row>
    <row r="42" spans="1:7" x14ac:dyDescent="0.25">
      <c r="A42" s="112" t="s">
        <v>154</v>
      </c>
      <c r="B42" s="105"/>
      <c r="C42" s="107">
        <v>15000</v>
      </c>
      <c r="D42" s="107">
        <v>14286</v>
      </c>
      <c r="E42" s="12">
        <v>14286</v>
      </c>
      <c r="F42" s="213">
        <v>16000</v>
      </c>
      <c r="G42" s="114"/>
    </row>
    <row r="43" spans="1:7" x14ac:dyDescent="0.25">
      <c r="A43" s="112" t="s">
        <v>155</v>
      </c>
      <c r="B43" s="105"/>
      <c r="C43" s="107">
        <v>605000</v>
      </c>
      <c r="E43" s="12">
        <v>605000</v>
      </c>
      <c r="F43" s="213">
        <v>630000</v>
      </c>
      <c r="G43" s="114"/>
    </row>
    <row r="44" spans="1:7" x14ac:dyDescent="0.25">
      <c r="A44" s="112" t="s">
        <v>156</v>
      </c>
      <c r="B44" s="105"/>
      <c r="C44" s="107">
        <v>20000</v>
      </c>
      <c r="D44" s="107">
        <v>39861</v>
      </c>
      <c r="E44" s="12">
        <v>20000</v>
      </c>
      <c r="F44" s="213">
        <v>21000</v>
      </c>
      <c r="G44" s="114"/>
    </row>
    <row r="45" spans="1:7" x14ac:dyDescent="0.25">
      <c r="A45" s="112" t="s">
        <v>151</v>
      </c>
      <c r="B45" s="105"/>
      <c r="D45" s="113">
        <v>250</v>
      </c>
      <c r="E45" s="12">
        <v>250</v>
      </c>
      <c r="F45" s="174"/>
      <c r="G45" s="114"/>
    </row>
    <row r="46" spans="1:7" x14ac:dyDescent="0.25">
      <c r="A46" s="104" t="s">
        <v>189</v>
      </c>
      <c r="B46" s="105">
        <v>643000</v>
      </c>
      <c r="C46" s="105">
        <v>643000</v>
      </c>
      <c r="D46" s="105">
        <v>885751</v>
      </c>
      <c r="E46" s="129">
        <f>E48+E47</f>
        <v>1385751</v>
      </c>
      <c r="F46" s="212">
        <f>F47+F48</f>
        <v>2169000</v>
      </c>
      <c r="G46" s="114"/>
    </row>
    <row r="47" spans="1:7" x14ac:dyDescent="0.25">
      <c r="A47" s="112" t="s">
        <v>152</v>
      </c>
      <c r="B47" s="105"/>
      <c r="C47" s="107">
        <v>268000</v>
      </c>
      <c r="E47" s="12">
        <v>0</v>
      </c>
      <c r="F47" s="213">
        <v>279000</v>
      </c>
      <c r="G47" s="114"/>
    </row>
    <row r="48" spans="1:7" x14ac:dyDescent="0.25">
      <c r="A48" s="112" t="s">
        <v>172</v>
      </c>
      <c r="B48" s="105"/>
      <c r="C48" s="107">
        <v>375000</v>
      </c>
      <c r="D48" s="107">
        <v>885751</v>
      </c>
      <c r="E48" s="12">
        <f>885751+500000</f>
        <v>1385751</v>
      </c>
      <c r="F48" s="213">
        <v>1890000</v>
      </c>
      <c r="G48" s="114"/>
    </row>
    <row r="49" spans="1:7" x14ac:dyDescent="0.25">
      <c r="A49" s="112" t="s">
        <v>3</v>
      </c>
      <c r="B49" s="105"/>
      <c r="C49" s="107"/>
      <c r="D49" s="107"/>
      <c r="E49" s="12"/>
      <c r="F49" s="213"/>
      <c r="G49" s="114"/>
    </row>
    <row r="50" spans="1:7" x14ac:dyDescent="0.25">
      <c r="A50" s="112"/>
      <c r="B50" s="105"/>
      <c r="C50" s="107"/>
      <c r="D50" s="107"/>
      <c r="E50" s="12"/>
      <c r="F50" s="213"/>
      <c r="G50" s="114"/>
    </row>
    <row r="51" spans="1:7" x14ac:dyDescent="0.25">
      <c r="A51" s="104" t="s">
        <v>190</v>
      </c>
      <c r="B51" s="105">
        <v>1093000</v>
      </c>
      <c r="C51" s="105">
        <v>1093000</v>
      </c>
      <c r="D51" s="105">
        <v>831204</v>
      </c>
      <c r="E51" s="129">
        <v>1093000</v>
      </c>
      <c r="F51" s="212">
        <f>SUM(F52:F54)</f>
        <v>633000</v>
      </c>
      <c r="G51" s="114"/>
    </row>
    <row r="52" spans="1:7" x14ac:dyDescent="0.25">
      <c r="A52" s="112" t="s">
        <v>158</v>
      </c>
      <c r="B52" s="105"/>
      <c r="C52" s="107">
        <v>327000</v>
      </c>
      <c r="D52" s="107">
        <v>245367</v>
      </c>
      <c r="E52" s="12"/>
      <c r="F52" s="213">
        <v>327000</v>
      </c>
      <c r="G52" s="114"/>
    </row>
    <row r="53" spans="1:7" x14ac:dyDescent="0.25">
      <c r="A53" s="112" t="s">
        <v>157</v>
      </c>
      <c r="B53" s="105"/>
      <c r="C53" s="107">
        <v>162000</v>
      </c>
      <c r="D53" s="107">
        <v>132876</v>
      </c>
      <c r="E53" s="12"/>
      <c r="F53" s="174"/>
      <c r="G53" s="114"/>
    </row>
    <row r="54" spans="1:7" x14ac:dyDescent="0.25">
      <c r="A54" s="112" t="s">
        <v>159</v>
      </c>
      <c r="B54" s="107"/>
      <c r="C54" s="107">
        <v>604000</v>
      </c>
      <c r="D54" s="107">
        <v>452961</v>
      </c>
      <c r="E54" s="12"/>
      <c r="F54" s="213">
        <v>306000</v>
      </c>
      <c r="G54" s="114"/>
    </row>
    <row r="55" spans="1:7" x14ac:dyDescent="0.25">
      <c r="A55" s="112" t="s">
        <v>3</v>
      </c>
      <c r="B55" s="107"/>
      <c r="C55" s="107"/>
      <c r="D55" s="107"/>
      <c r="E55" s="12"/>
      <c r="F55" s="213"/>
      <c r="G55" s="114"/>
    </row>
    <row r="56" spans="1:7" x14ac:dyDescent="0.25">
      <c r="A56" s="112"/>
      <c r="B56" s="107"/>
      <c r="C56" s="107"/>
      <c r="D56" s="107"/>
      <c r="E56" s="12"/>
      <c r="F56" s="213"/>
      <c r="G56" s="114"/>
    </row>
    <row r="57" spans="1:7" x14ac:dyDescent="0.25">
      <c r="A57" s="104" t="s">
        <v>191</v>
      </c>
      <c r="E57" s="12"/>
      <c r="F57" s="174"/>
      <c r="G57" s="114"/>
    </row>
    <row r="58" spans="1:7" x14ac:dyDescent="0.25">
      <c r="A58" s="104" t="s">
        <v>192</v>
      </c>
      <c r="B58" s="129">
        <v>700000</v>
      </c>
      <c r="C58" s="105">
        <v>700000</v>
      </c>
      <c r="E58" s="129">
        <f>E59+E60</f>
        <v>700000</v>
      </c>
      <c r="F58" s="174"/>
      <c r="G58" s="114"/>
    </row>
    <row r="59" spans="1:7" x14ac:dyDescent="0.25">
      <c r="A59" s="112" t="s">
        <v>160</v>
      </c>
      <c r="C59" s="107">
        <v>400000</v>
      </c>
      <c r="E59" s="12">
        <f>C59</f>
        <v>400000</v>
      </c>
      <c r="F59" s="174"/>
      <c r="G59" s="114"/>
    </row>
    <row r="60" spans="1:7" x14ac:dyDescent="0.25">
      <c r="A60" s="112" t="s">
        <v>161</v>
      </c>
      <c r="C60" s="107">
        <v>300000</v>
      </c>
      <c r="E60" s="12">
        <f>C60</f>
        <v>300000</v>
      </c>
      <c r="F60" s="174"/>
      <c r="G60" s="114"/>
    </row>
    <row r="61" spans="1:7" x14ac:dyDescent="0.25">
      <c r="A61" s="112" t="s">
        <v>3</v>
      </c>
      <c r="C61" s="107"/>
      <c r="E61" s="12"/>
      <c r="F61" s="174"/>
      <c r="G61" s="114"/>
    </row>
    <row r="62" spans="1:7" x14ac:dyDescent="0.25">
      <c r="A62" s="112"/>
      <c r="C62" s="107"/>
      <c r="E62" s="12"/>
      <c r="F62" s="174"/>
      <c r="G62" s="114"/>
    </row>
    <row r="63" spans="1:7" x14ac:dyDescent="0.25">
      <c r="A63" s="104" t="s">
        <v>193</v>
      </c>
      <c r="E63" s="12"/>
      <c r="G63" s="114"/>
    </row>
    <row r="64" spans="1:7" ht="15.75" thickBot="1" x14ac:dyDescent="0.3">
      <c r="B64" s="105"/>
      <c r="D64" s="105"/>
      <c r="E64" s="12"/>
      <c r="G64" s="114"/>
    </row>
    <row r="65" spans="1:7" ht="15.75" thickBot="1" x14ac:dyDescent="0.3">
      <c r="A65" s="104" t="s">
        <v>2</v>
      </c>
      <c r="B65" s="103">
        <f>B5+B20+B27+B39+B46+B51+B58</f>
        <v>-1828000</v>
      </c>
      <c r="C65" s="103">
        <f>C5+C20+C27+C39+C46+C51+C58</f>
        <v>4352000</v>
      </c>
      <c r="D65" s="103">
        <f>D5+D20+D27+D39+D46+D51+D58</f>
        <v>-3000361</v>
      </c>
      <c r="E65" s="103">
        <f>E5+E20+E27+E39+E46+E51+E58</f>
        <v>6378129</v>
      </c>
      <c r="F65" s="223">
        <f t="shared" ref="F65" si="0">F5+F20+F27+F39+F46+F51+F58</f>
        <v>-46953.79060074687</v>
      </c>
      <c r="G65" s="114"/>
    </row>
    <row r="66" spans="1:7" x14ac:dyDescent="0.25">
      <c r="G66" s="114"/>
    </row>
    <row r="67" spans="1:7" x14ac:dyDescent="0.25">
      <c r="G67" s="114"/>
    </row>
    <row r="68" spans="1:7" x14ac:dyDescent="0.25">
      <c r="G68" s="114"/>
    </row>
    <row r="69" spans="1:7" x14ac:dyDescent="0.25">
      <c r="G69" s="114"/>
    </row>
    <row r="70" spans="1:7" x14ac:dyDescent="0.25">
      <c r="G70" s="114"/>
    </row>
    <row r="71" spans="1:7" x14ac:dyDescent="0.25">
      <c r="G71" s="114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topLeftCell="A7" workbookViewId="0">
      <selection activeCell="A38" sqref="A38"/>
    </sheetView>
  </sheetViews>
  <sheetFormatPr defaultRowHeight="12.75" outlineLevelCol="1" x14ac:dyDescent="0.2"/>
  <cols>
    <col min="1" max="1" width="50" style="226" bestFit="1" customWidth="1"/>
    <col min="2" max="2" width="11.85546875" style="260" bestFit="1" customWidth="1"/>
    <col min="3" max="4" width="12.7109375" style="226" customWidth="1"/>
    <col min="5" max="5" width="12.7109375" style="226" hidden="1" customWidth="1" outlineLevel="1"/>
    <col min="6" max="6" width="12.7109375" style="226" customWidth="1" collapsed="1"/>
    <col min="7" max="7" width="1.85546875" style="226" customWidth="1"/>
    <col min="8" max="8" width="10.7109375" style="226" bestFit="1" customWidth="1"/>
    <col min="9" max="9" width="12" style="226" bestFit="1" customWidth="1"/>
    <col min="10" max="16384" width="9.140625" style="226"/>
  </cols>
  <sheetData>
    <row r="1" spans="1:14" x14ac:dyDescent="0.2">
      <c r="A1" s="245" t="s">
        <v>248</v>
      </c>
      <c r="B1" s="260">
        <v>42341</v>
      </c>
    </row>
    <row r="2" spans="1:14" ht="15.75" thickBot="1" x14ac:dyDescent="0.3">
      <c r="A2" s="225" t="s">
        <v>246</v>
      </c>
      <c r="B2" s="261"/>
    </row>
    <row r="3" spans="1:14" ht="13.5" thickBot="1" x14ac:dyDescent="0.25">
      <c r="H3" s="227" t="s">
        <v>203</v>
      </c>
      <c r="I3" s="227" t="s">
        <v>204</v>
      </c>
      <c r="N3" s="242"/>
    </row>
    <row r="4" spans="1:14" x14ac:dyDescent="0.2">
      <c r="A4" s="228" t="s">
        <v>8</v>
      </c>
      <c r="B4" s="262"/>
      <c r="C4" s="229" t="s">
        <v>205</v>
      </c>
      <c r="D4" s="229" t="s">
        <v>206</v>
      </c>
      <c r="E4" s="229" t="s">
        <v>207</v>
      </c>
      <c r="F4" s="229" t="s">
        <v>3</v>
      </c>
      <c r="H4" s="230" t="s">
        <v>208</v>
      </c>
      <c r="I4" s="230" t="s">
        <v>209</v>
      </c>
    </row>
    <row r="5" spans="1:14" ht="13.5" thickBot="1" x14ac:dyDescent="0.25">
      <c r="A5" s="228" t="s">
        <v>8</v>
      </c>
      <c r="B5" s="263" t="s">
        <v>210</v>
      </c>
      <c r="C5" s="231" t="s">
        <v>211</v>
      </c>
      <c r="D5" s="231" t="s">
        <v>212</v>
      </c>
      <c r="E5" s="231" t="s">
        <v>213</v>
      </c>
      <c r="F5" s="231" t="s">
        <v>213</v>
      </c>
      <c r="H5" s="232" t="s">
        <v>214</v>
      </c>
      <c r="I5" s="232" t="s">
        <v>215</v>
      </c>
    </row>
    <row r="6" spans="1:14" x14ac:dyDescent="0.2">
      <c r="A6" s="228" t="s">
        <v>216</v>
      </c>
      <c r="B6" s="264"/>
      <c r="C6" s="228"/>
      <c r="D6" s="228"/>
      <c r="E6" s="228"/>
      <c r="F6" s="228"/>
      <c r="H6" s="233"/>
      <c r="I6" s="233"/>
    </row>
    <row r="7" spans="1:14" x14ac:dyDescent="0.2">
      <c r="A7" s="234" t="s">
        <v>247</v>
      </c>
      <c r="B7" s="265" t="s">
        <v>212</v>
      </c>
      <c r="C7" s="226">
        <v>0</v>
      </c>
      <c r="D7" s="233">
        <v>-79155000</v>
      </c>
      <c r="E7" s="233">
        <v>0</v>
      </c>
      <c r="F7" s="233">
        <f>C7+D7+E7</f>
        <v>-79155000</v>
      </c>
      <c r="H7" s="233"/>
      <c r="I7" s="233"/>
    </row>
    <row r="8" spans="1:14" ht="13.5" thickBot="1" x14ac:dyDescent="0.25">
      <c r="A8" s="234" t="s">
        <v>217</v>
      </c>
      <c r="B8" s="265" t="s">
        <v>218</v>
      </c>
      <c r="C8" s="235">
        <f>'Gáma 53-2016'!F6</f>
        <v>-77055000</v>
      </c>
      <c r="D8" s="235"/>
      <c r="E8" s="235"/>
      <c r="F8" s="235">
        <f>C8+D8+E8</f>
        <v>-77055000</v>
      </c>
      <c r="H8" s="235">
        <v>74592000</v>
      </c>
      <c r="I8" s="235"/>
    </row>
    <row r="9" spans="1:14" x14ac:dyDescent="0.2">
      <c r="A9" s="236" t="s">
        <v>219</v>
      </c>
      <c r="B9" s="265"/>
      <c r="C9" s="237">
        <f>SUM(C7:C8)</f>
        <v>-77055000</v>
      </c>
      <c r="D9" s="237">
        <f>SUM(D7:D8)</f>
        <v>-79155000</v>
      </c>
      <c r="E9" s="237">
        <f>SUM(E7:E8)</f>
        <v>0</v>
      </c>
      <c r="F9" s="237">
        <f>SUM(F7:F8)</f>
        <v>-156210000</v>
      </c>
      <c r="G9" s="237" t="s">
        <v>8</v>
      </c>
      <c r="H9" s="237">
        <f t="shared" ref="H9:I9" si="0">SUM(H7:H8)</f>
        <v>74592000</v>
      </c>
      <c r="I9" s="237">
        <f t="shared" si="0"/>
        <v>0</v>
      </c>
    </row>
    <row r="10" spans="1:14" x14ac:dyDescent="0.2">
      <c r="A10" s="234"/>
      <c r="B10" s="265"/>
      <c r="C10" s="233"/>
      <c r="D10" s="233"/>
      <c r="E10" s="233"/>
      <c r="F10" s="233" t="s">
        <v>8</v>
      </c>
      <c r="H10" s="233"/>
      <c r="I10" s="233"/>
    </row>
    <row r="11" spans="1:14" x14ac:dyDescent="0.2">
      <c r="A11" s="228" t="s">
        <v>220</v>
      </c>
      <c r="B11" s="265"/>
      <c r="C11" s="233"/>
      <c r="D11" s="233"/>
      <c r="E11" s="233"/>
      <c r="F11" s="233" t="s">
        <v>8</v>
      </c>
      <c r="H11" s="233"/>
      <c r="I11" s="233"/>
    </row>
    <row r="12" spans="1:14" x14ac:dyDescent="0.2">
      <c r="A12" s="234" t="s">
        <v>221</v>
      </c>
      <c r="B12" s="265" t="s">
        <v>212</v>
      </c>
      <c r="C12" s="226">
        <v>0</v>
      </c>
      <c r="D12" s="233">
        <f>-'Gáma 53-2016'!F6</f>
        <v>77055000</v>
      </c>
      <c r="E12" s="233">
        <v>0</v>
      </c>
      <c r="F12" s="233">
        <f>C12+D12+E12</f>
        <v>77055000</v>
      </c>
      <c r="H12" s="233">
        <v>-74592000</v>
      </c>
      <c r="I12" s="233"/>
    </row>
    <row r="13" spans="1:14" x14ac:dyDescent="0.2">
      <c r="A13" s="234" t="s">
        <v>222</v>
      </c>
      <c r="B13" s="265" t="s">
        <v>212</v>
      </c>
      <c r="C13" s="226">
        <v>0</v>
      </c>
      <c r="D13" s="233">
        <v>2070000</v>
      </c>
      <c r="E13" s="233">
        <v>0</v>
      </c>
      <c r="F13" s="233">
        <f t="shared" ref="F13:F26" si="1">C13+D13+E13</f>
        <v>2070000</v>
      </c>
      <c r="H13" s="233"/>
      <c r="I13" s="233">
        <v>2070000</v>
      </c>
    </row>
    <row r="14" spans="1:14" x14ac:dyDescent="0.2">
      <c r="A14" s="234" t="s">
        <v>223</v>
      </c>
      <c r="B14" s="265" t="s">
        <v>218</v>
      </c>
      <c r="C14" s="233">
        <f>911000+52000+353000+2654000+188000+504000+536000+130000+63613000</f>
        <v>68941000</v>
      </c>
      <c r="D14" s="233">
        <v>0</v>
      </c>
      <c r="E14" s="233">
        <v>0</v>
      </c>
      <c r="F14" s="233">
        <f t="shared" si="1"/>
        <v>68941000</v>
      </c>
      <c r="H14" s="233"/>
      <c r="I14" s="233"/>
    </row>
    <row r="15" spans="1:14" x14ac:dyDescent="0.2">
      <c r="A15" s="234" t="s">
        <v>224</v>
      </c>
      <c r="B15" s="265" t="s">
        <v>225</v>
      </c>
      <c r="C15" s="233">
        <v>2800000</v>
      </c>
      <c r="D15" s="233">
        <v>0</v>
      </c>
      <c r="E15" s="233">
        <v>0</v>
      </c>
      <c r="F15" s="233">
        <f t="shared" si="1"/>
        <v>2800000</v>
      </c>
      <c r="H15" s="233"/>
      <c r="I15" s="233">
        <v>2800000</v>
      </c>
    </row>
    <row r="16" spans="1:14" x14ac:dyDescent="0.2">
      <c r="A16" s="234" t="s">
        <v>226</v>
      </c>
      <c r="B16" s="265" t="s">
        <v>227</v>
      </c>
      <c r="C16" s="233">
        <v>300000</v>
      </c>
      <c r="D16" s="233">
        <v>0</v>
      </c>
      <c r="E16" s="233">
        <v>0</v>
      </c>
      <c r="F16" s="233">
        <f t="shared" si="1"/>
        <v>300000</v>
      </c>
      <c r="H16" s="233"/>
      <c r="I16" s="233"/>
    </row>
    <row r="17" spans="1:13" x14ac:dyDescent="0.2">
      <c r="A17" s="234" t="s">
        <v>228</v>
      </c>
      <c r="B17" s="265" t="s">
        <v>229</v>
      </c>
      <c r="C17" s="233">
        <f>16000+661000+21000+800000</f>
        <v>1498000</v>
      </c>
      <c r="D17" s="233">
        <v>0</v>
      </c>
      <c r="E17" s="233">
        <v>0</v>
      </c>
      <c r="F17" s="233">
        <f t="shared" si="1"/>
        <v>1498000</v>
      </c>
      <c r="H17" s="233"/>
      <c r="I17" s="233"/>
    </row>
    <row r="18" spans="1:13" x14ac:dyDescent="0.2">
      <c r="A18" s="234" t="s">
        <v>230</v>
      </c>
      <c r="B18" s="265" t="s">
        <v>231</v>
      </c>
      <c r="C18" s="233">
        <f>16000+630000+21000</f>
        <v>667000</v>
      </c>
      <c r="D18" s="233">
        <v>0</v>
      </c>
      <c r="E18" s="233">
        <v>0</v>
      </c>
      <c r="F18" s="233">
        <f t="shared" si="1"/>
        <v>667000</v>
      </c>
      <c r="H18" s="233"/>
      <c r="I18" s="233"/>
    </row>
    <row r="19" spans="1:13" ht="13.5" thickBot="1" x14ac:dyDescent="0.25">
      <c r="A19" s="234" t="s">
        <v>232</v>
      </c>
      <c r="B19" s="265" t="s">
        <v>233</v>
      </c>
      <c r="C19" s="235">
        <f>279000+1890000</f>
        <v>2169000</v>
      </c>
      <c r="D19" s="235">
        <v>0</v>
      </c>
      <c r="E19" s="235">
        <v>0</v>
      </c>
      <c r="F19" s="235">
        <f t="shared" si="1"/>
        <v>2169000</v>
      </c>
      <c r="H19" s="235"/>
      <c r="I19" s="235"/>
    </row>
    <row r="20" spans="1:13" x14ac:dyDescent="0.2">
      <c r="A20" s="236" t="s">
        <v>234</v>
      </c>
      <c r="B20" s="265"/>
      <c r="C20" s="237">
        <f>SUM(C12:C19)</f>
        <v>76375000</v>
      </c>
      <c r="D20" s="237">
        <f t="shared" ref="D20:E20" si="2">SUM(D12:D19)</f>
        <v>79125000</v>
      </c>
      <c r="E20" s="237">
        <f t="shared" si="2"/>
        <v>0</v>
      </c>
      <c r="F20" s="237">
        <f>SUM(F12:F19)</f>
        <v>155500000</v>
      </c>
      <c r="G20" s="237" t="s">
        <v>8</v>
      </c>
      <c r="H20" s="237">
        <f t="shared" ref="H20:I20" si="3">SUM(H12:H19)</f>
        <v>-74592000</v>
      </c>
      <c r="I20" s="237">
        <f t="shared" si="3"/>
        <v>4870000</v>
      </c>
    </row>
    <row r="21" spans="1:13" x14ac:dyDescent="0.2">
      <c r="A21" s="234"/>
      <c r="B21" s="265"/>
      <c r="C21" s="233"/>
      <c r="D21" s="233"/>
      <c r="E21" s="233"/>
      <c r="F21" s="233"/>
      <c r="H21" s="233"/>
      <c r="I21" s="233"/>
    </row>
    <row r="22" spans="1:13" ht="16.5" thickBot="1" x14ac:dyDescent="0.25">
      <c r="A22" s="234" t="s">
        <v>235</v>
      </c>
      <c r="B22" s="265" t="s">
        <v>236</v>
      </c>
      <c r="C22" s="235">
        <v>633000</v>
      </c>
      <c r="D22" s="235">
        <v>0</v>
      </c>
      <c r="E22" s="235">
        <v>0</v>
      </c>
      <c r="F22" s="235">
        <f t="shared" si="1"/>
        <v>633000</v>
      </c>
      <c r="H22" s="233"/>
      <c r="I22" s="233"/>
      <c r="M22" s="243"/>
    </row>
    <row r="23" spans="1:13" x14ac:dyDescent="0.2">
      <c r="A23" s="236" t="s">
        <v>237</v>
      </c>
      <c r="B23" s="265"/>
      <c r="C23" s="237">
        <f>C20+C22</f>
        <v>77008000</v>
      </c>
      <c r="D23" s="237">
        <f t="shared" ref="D23:F23" si="4">D20+D22</f>
        <v>79125000</v>
      </c>
      <c r="E23" s="237">
        <f t="shared" si="4"/>
        <v>0</v>
      </c>
      <c r="F23" s="237">
        <f t="shared" si="4"/>
        <v>156133000</v>
      </c>
      <c r="H23" s="233"/>
      <c r="I23" s="233"/>
    </row>
    <row r="24" spans="1:13" x14ac:dyDescent="0.2">
      <c r="A24" s="234"/>
      <c r="B24" s="265"/>
      <c r="C24" s="233"/>
      <c r="D24" s="233"/>
      <c r="E24" s="233"/>
      <c r="F24" s="233"/>
      <c r="H24" s="233"/>
      <c r="I24" s="233"/>
    </row>
    <row r="25" spans="1:13" x14ac:dyDescent="0.2">
      <c r="A25" s="234" t="s">
        <v>238</v>
      </c>
      <c r="B25" s="265" t="s">
        <v>239</v>
      </c>
      <c r="C25" s="233">
        <v>0</v>
      </c>
      <c r="D25" s="233">
        <v>0</v>
      </c>
      <c r="E25" s="233">
        <v>0</v>
      </c>
      <c r="F25" s="233">
        <f t="shared" si="1"/>
        <v>0</v>
      </c>
      <c r="H25" s="233"/>
      <c r="I25" s="233"/>
    </row>
    <row r="26" spans="1:13" ht="13.5" thickBot="1" x14ac:dyDescent="0.25">
      <c r="A26" s="234" t="s">
        <v>240</v>
      </c>
      <c r="B26" s="265" t="s">
        <v>241</v>
      </c>
      <c r="C26" s="235">
        <v>0</v>
      </c>
      <c r="D26" s="235">
        <v>0</v>
      </c>
      <c r="E26" s="235">
        <v>0</v>
      </c>
      <c r="F26" s="235">
        <f t="shared" si="1"/>
        <v>0</v>
      </c>
      <c r="H26" s="233"/>
      <c r="I26" s="233"/>
    </row>
    <row r="27" spans="1:13" x14ac:dyDescent="0.2">
      <c r="A27" s="236" t="s">
        <v>242</v>
      </c>
      <c r="B27" s="265"/>
      <c r="C27" s="237">
        <f>SUM(C25:C26)</f>
        <v>0</v>
      </c>
      <c r="D27" s="237">
        <f t="shared" ref="D27:F27" si="5">SUM(D25:D26)</f>
        <v>0</v>
      </c>
      <c r="E27" s="237">
        <f t="shared" si="5"/>
        <v>0</v>
      </c>
      <c r="F27" s="237">
        <f t="shared" si="5"/>
        <v>0</v>
      </c>
      <c r="H27" s="233"/>
      <c r="I27" s="233"/>
    </row>
    <row r="28" spans="1:13" x14ac:dyDescent="0.2">
      <c r="D28" s="233"/>
      <c r="E28" s="233"/>
      <c r="F28" s="233"/>
      <c r="H28" s="233"/>
      <c r="I28" s="233"/>
    </row>
    <row r="29" spans="1:13" ht="13.5" thickBot="1" x14ac:dyDescent="0.25">
      <c r="A29" s="238" t="s">
        <v>3</v>
      </c>
      <c r="B29" s="265"/>
      <c r="C29" s="239">
        <f>C9+C20+C22+C27</f>
        <v>-47000</v>
      </c>
      <c r="D29" s="239">
        <f t="shared" ref="D29:I29" si="6">D9+D20+D22+D27</f>
        <v>-30000</v>
      </c>
      <c r="E29" s="239">
        <f t="shared" si="6"/>
        <v>0</v>
      </c>
      <c r="F29" s="239">
        <f t="shared" si="6"/>
        <v>-77000</v>
      </c>
      <c r="G29" s="240" t="s">
        <v>8</v>
      </c>
      <c r="H29" s="239">
        <f t="shared" si="6"/>
        <v>0</v>
      </c>
      <c r="I29" s="239">
        <f t="shared" si="6"/>
        <v>4870000</v>
      </c>
    </row>
    <row r="30" spans="1:13" ht="13.5" thickTop="1" x14ac:dyDescent="0.2">
      <c r="D30" s="233"/>
      <c r="E30" s="233"/>
      <c r="F30" s="233"/>
    </row>
    <row r="31" spans="1:13" x14ac:dyDescent="0.2">
      <c r="D31" s="233"/>
      <c r="E31" s="233"/>
      <c r="F31" s="233"/>
    </row>
    <row r="32" spans="1:13" x14ac:dyDescent="0.2">
      <c r="D32" s="233"/>
      <c r="E32" s="233"/>
      <c r="F32" s="233"/>
    </row>
    <row r="33" spans="1:6" x14ac:dyDescent="0.2">
      <c r="A33" s="234" t="s">
        <v>243</v>
      </c>
      <c r="B33" s="265"/>
      <c r="C33" s="233">
        <f>C29</f>
        <v>-47000</v>
      </c>
      <c r="D33" s="233"/>
      <c r="E33" s="233"/>
      <c r="F33" s="233"/>
    </row>
    <row r="34" spans="1:6" x14ac:dyDescent="0.2">
      <c r="A34" s="234" t="s">
        <v>244</v>
      </c>
      <c r="B34" s="265"/>
      <c r="C34" s="233">
        <f>D29</f>
        <v>-30000</v>
      </c>
      <c r="D34" s="233"/>
      <c r="E34" s="233"/>
      <c r="F34" s="233"/>
    </row>
    <row r="35" spans="1:6" x14ac:dyDescent="0.2">
      <c r="A35" s="234" t="s">
        <v>245</v>
      </c>
      <c r="B35" s="265"/>
      <c r="C35" s="233">
        <f>E29</f>
        <v>0</v>
      </c>
      <c r="D35" s="233"/>
      <c r="E35" s="233"/>
      <c r="F35" s="233"/>
    </row>
    <row r="36" spans="1:6" x14ac:dyDescent="0.2">
      <c r="C36" s="241">
        <f>SUM(C33:C35)</f>
        <v>-77000</v>
      </c>
      <c r="D36" s="233"/>
      <c r="E36" s="233"/>
      <c r="F36" s="233"/>
    </row>
    <row r="37" spans="1:6" x14ac:dyDescent="0.2">
      <c r="D37" s="233"/>
      <c r="E37" s="233"/>
      <c r="F37" s="233"/>
    </row>
    <row r="38" spans="1:6" x14ac:dyDescent="0.2">
      <c r="A38" s="226" t="s">
        <v>249</v>
      </c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Forsendur</vt:lpstr>
      <vt:lpstr>sorp 2015-1</vt:lpstr>
      <vt:lpstr>Grófur úrg. 2015</vt:lpstr>
      <vt:lpstr>Sorpeyðing Fíflholt</vt:lpstr>
      <vt:lpstr>Sorpmótttökustöð</vt:lpstr>
      <vt:lpstr>Gáma 53-2016</vt:lpstr>
      <vt:lpstr>Samantekt 53 og 08 2016</vt:lpstr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Sigurður Páll Harðarsson</dc:creator>
  <cp:lastModifiedBy>Steinar Adolfsson</cp:lastModifiedBy>
  <cp:lastPrinted>2015-12-06T11:26:24Z</cp:lastPrinted>
  <dcterms:created xsi:type="dcterms:W3CDTF">2013-08-27T16:52:55Z</dcterms:created>
  <dcterms:modified xsi:type="dcterms:W3CDTF">2015-12-06T11:26:49Z</dcterms:modified>
</cp:coreProperties>
</file>